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okempsey\Downloads\"/>
    </mc:Choice>
  </mc:AlternateContent>
  <xr:revisionPtr revIDLastSave="0" documentId="13_ncr:1_{71F09201-42AE-486E-A612-3A58A7DE96DB}" xr6:coauthVersionLast="47" xr6:coauthVersionMax="47" xr10:uidLastSave="{00000000-0000-0000-0000-000000000000}"/>
  <workbookProtection workbookAlgorithmName="SHA-512" workbookHashValue="9HvEAimrK4WztL7lXxutdNpsR8PPIQb0rVKD5Tm8+CpjLiLH0f3kbwnxgeIU8IBTF1R3K5ja/bSeQOYpYlp84w==" workbookSaltValue="5iKa/lvw6I65IOCOaJuWTQ==" workbookSpinCount="100000" lockStructure="1"/>
  <bookViews>
    <workbookView xWindow="3465" yWindow="1590" windowWidth="21600" windowHeight="11055" tabRatio="966" xr2:uid="{36CCA9D4-7803-4BA9-AB2B-7ED2914297FE}"/>
  </bookViews>
  <sheets>
    <sheet name="Affordability Calculator" sheetId="16" r:id="rId1"/>
    <sheet name="Version Control" sheetId="20" state="hidden" r:id="rId2"/>
    <sheet name="Lookups" sheetId="19" state="hidden" r:id="rId3"/>
    <sheet name="Affordability Assessment" sheetId="7" state="hidden" r:id="rId4"/>
    <sheet name="Amortisation" sheetId="3" state="hidden" r:id="rId5"/>
    <sheet name="Amortisation Repayment" sheetId="18" state="hidden" r:id="rId6"/>
  </sheets>
  <definedNames>
    <definedName name="Payment" localSheetId="4">Amortisation!#REF!</definedName>
    <definedName name="Payment" localSheetId="5">'Amortisation Repayment'!#REF!</definedName>
    <definedName name="Payment">#REF!</definedName>
    <definedName name="_xlnm.Print_Area" localSheetId="4">Amortisation!$A$1:$M$18</definedName>
    <definedName name="_xlnm.Print_Area" localSheetId="5">'Amortisation Repayment'!$A$1:$M$18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6" l="1"/>
  <c r="D5" i="7" s="1"/>
  <c r="K3" i="3" s="1"/>
  <c r="K4" i="3" s="1"/>
  <c r="C51" i="16"/>
  <c r="C52" i="16"/>
  <c r="D8" i="7" s="1"/>
  <c r="C54" i="16"/>
  <c r="D7" i="7" s="1"/>
  <c r="N6" i="18"/>
  <c r="N8" i="18" s="1"/>
  <c r="K5" i="18" s="1"/>
  <c r="H5" i="18"/>
  <c r="D4" i="7"/>
  <c r="N11" i="3" s="1"/>
  <c r="N13" i="3" s="1"/>
  <c r="K5" i="3" s="1"/>
  <c r="D3" i="7"/>
  <c r="H5" i="3" s="1"/>
  <c r="D9" i="7" l="1"/>
  <c r="D11" i="7" s="1"/>
  <c r="E4" i="7"/>
  <c r="F6" i="3"/>
  <c r="C6" i="3" s="1"/>
  <c r="E6" i="3"/>
  <c r="D14" i="7" s="1"/>
  <c r="N11" i="18"/>
  <c r="N13" i="18" s="1"/>
  <c r="K3" i="18" s="1"/>
  <c r="K4" i="18" s="1"/>
  <c r="E6" i="18" s="1"/>
  <c r="B6" i="18" s="1"/>
  <c r="E5" i="7"/>
  <c r="D17" i="7" l="1"/>
  <c r="F17" i="7" s="1"/>
  <c r="D15" i="7"/>
  <c r="D18" i="7" s="1"/>
  <c r="D22" i="7" s="1"/>
  <c r="G6" i="3"/>
  <c r="D6" i="3" s="1"/>
  <c r="F6" i="18"/>
  <c r="C6" i="18" s="1"/>
  <c r="E7" i="18"/>
  <c r="B7" i="18" s="1"/>
  <c r="E7" i="3"/>
  <c r="B7" i="3" s="1"/>
  <c r="B6" i="3"/>
  <c r="I9" i="16"/>
  <c r="D20" i="7" l="1"/>
  <c r="F20" i="7" s="1"/>
  <c r="F18" i="7"/>
  <c r="H6" i="3"/>
  <c r="F7" i="3" s="1"/>
  <c r="G6" i="18"/>
  <c r="D6" i="18" s="1"/>
  <c r="E8" i="3"/>
  <c r="E9" i="3" s="1"/>
  <c r="I10" i="16"/>
  <c r="E8" i="18"/>
  <c r="B8" i="18" s="1"/>
  <c r="F22" i="7"/>
  <c r="D28" i="7"/>
  <c r="C37" i="7" s="1"/>
  <c r="I6" i="16" s="1"/>
  <c r="D26" i="7" l="1"/>
  <c r="C34" i="7" s="1"/>
  <c r="I5" i="16" s="1"/>
  <c r="H6" i="18"/>
  <c r="F7" i="18" s="1"/>
  <c r="C7" i="18" s="1"/>
  <c r="B8" i="3"/>
  <c r="E9" i="18"/>
  <c r="B9" i="18" s="1"/>
  <c r="B9" i="3"/>
  <c r="E10" i="3"/>
  <c r="C7" i="3"/>
  <c r="G7" i="3"/>
  <c r="G7" i="18" l="1"/>
  <c r="D7" i="18" s="1"/>
  <c r="E10" i="18"/>
  <c r="E11" i="18" s="1"/>
  <c r="D7" i="3"/>
  <c r="H7" i="3"/>
  <c r="E11" i="3"/>
  <c r="B10" i="3"/>
  <c r="B10" i="18" l="1"/>
  <c r="H7" i="18"/>
  <c r="F8" i="18" s="1"/>
  <c r="E12" i="18"/>
  <c r="B11" i="18"/>
  <c r="E12" i="3"/>
  <c r="B11" i="3"/>
  <c r="F8" i="3"/>
  <c r="E13" i="18" l="1"/>
  <c r="B12" i="18"/>
  <c r="E13" i="3"/>
  <c r="B12" i="3"/>
  <c r="C8" i="3"/>
  <c r="G8" i="3"/>
  <c r="C8" i="18"/>
  <c r="G8" i="18"/>
  <c r="D8" i="18" l="1"/>
  <c r="H8" i="18"/>
  <c r="D8" i="3"/>
  <c r="H8" i="3"/>
  <c r="B13" i="3"/>
  <c r="E14" i="3"/>
  <c r="B13" i="18"/>
  <c r="E14" i="18"/>
  <c r="F9" i="3" l="1"/>
  <c r="B14" i="3"/>
  <c r="E15" i="3"/>
  <c r="E15" i="18"/>
  <c r="B14" i="18"/>
  <c r="F9" i="18"/>
  <c r="E16" i="18" l="1"/>
  <c r="B15" i="18"/>
  <c r="C9" i="3"/>
  <c r="G9" i="3"/>
  <c r="C9" i="18"/>
  <c r="G9" i="18"/>
  <c r="B15" i="3"/>
  <c r="E16" i="3"/>
  <c r="D9" i="18" l="1"/>
  <c r="H9" i="18"/>
  <c r="E17" i="3"/>
  <c r="B16" i="3"/>
  <c r="D9" i="3"/>
  <c r="H9" i="3"/>
  <c r="B16" i="18"/>
  <c r="E17" i="18"/>
  <c r="F10" i="3" l="1"/>
  <c r="B17" i="3"/>
  <c r="F10" i="18"/>
  <c r="B17" i="18"/>
  <c r="C10" i="18" l="1"/>
  <c r="G10" i="18"/>
  <c r="C10" i="3"/>
  <c r="G10" i="3"/>
  <c r="D10" i="3" l="1"/>
  <c r="H10" i="3"/>
  <c r="D10" i="18"/>
  <c r="H10" i="18"/>
  <c r="F11" i="18" l="1"/>
  <c r="F11" i="3"/>
  <c r="C11" i="3" l="1"/>
  <c r="G11" i="3"/>
  <c r="C11" i="18"/>
  <c r="G11" i="18"/>
  <c r="D11" i="18" l="1"/>
  <c r="H11" i="18"/>
  <c r="D11" i="3"/>
  <c r="H11" i="3"/>
  <c r="F12" i="18" l="1"/>
  <c r="F12" i="3"/>
  <c r="C12" i="3" l="1"/>
  <c r="G12" i="3"/>
  <c r="C12" i="18"/>
  <c r="G12" i="18"/>
  <c r="D12" i="18" l="1"/>
  <c r="H12" i="18"/>
  <c r="D12" i="3"/>
  <c r="H12" i="3"/>
  <c r="F13" i="3" l="1"/>
  <c r="F13" i="18"/>
  <c r="C13" i="3" l="1"/>
  <c r="G13" i="3"/>
  <c r="C13" i="18"/>
  <c r="G13" i="18"/>
  <c r="D13" i="3" l="1"/>
  <c r="H13" i="3"/>
  <c r="D13" i="18"/>
  <c r="H13" i="18"/>
  <c r="F14" i="18" l="1"/>
  <c r="F14" i="3"/>
  <c r="C14" i="3" l="1"/>
  <c r="G14" i="3"/>
  <c r="C14" i="18"/>
  <c r="G14" i="18"/>
  <c r="D14" i="3" l="1"/>
  <c r="H14" i="3"/>
  <c r="D14" i="18"/>
  <c r="H14" i="18"/>
  <c r="F15" i="3" l="1"/>
  <c r="F15" i="18"/>
  <c r="C15" i="3" l="1"/>
  <c r="G15" i="3"/>
  <c r="C15" i="18"/>
  <c r="G15" i="18"/>
  <c r="D15" i="18" l="1"/>
  <c r="H15" i="18"/>
  <c r="D15" i="3"/>
  <c r="H15" i="3"/>
  <c r="F16" i="18" l="1"/>
  <c r="F16" i="3"/>
  <c r="C16" i="3" l="1"/>
  <c r="G16" i="3"/>
  <c r="C16" i="18"/>
  <c r="G16" i="18"/>
  <c r="D16" i="18" l="1"/>
  <c r="H16" i="18"/>
  <c r="D16" i="3"/>
  <c r="H16" i="3"/>
  <c r="F17" i="3" l="1"/>
  <c r="F17" i="18"/>
  <c r="C17" i="18" l="1"/>
  <c r="G17" i="18"/>
  <c r="C17" i="3"/>
  <c r="G17" i="3"/>
  <c r="D17" i="3" l="1"/>
  <c r="H17" i="3"/>
  <c r="D17" i="18"/>
  <c r="H17" i="18"/>
</calcChain>
</file>

<file path=xl/sharedStrings.xml><?xml version="1.0" encoding="utf-8"?>
<sst xmlns="http://schemas.openxmlformats.org/spreadsheetml/2006/main" count="119" uniqueCount="99">
  <si>
    <t>Mth Rep</t>
  </si>
  <si>
    <t>Mth Int</t>
  </si>
  <si>
    <t>Mth Cap</t>
  </si>
  <si>
    <t>Int</t>
  </si>
  <si>
    <t>Capital</t>
  </si>
  <si>
    <t>Balance</t>
  </si>
  <si>
    <t>Interest Rate</t>
  </si>
  <si>
    <t>Calc Rate</t>
  </si>
  <si>
    <t>Term Mths</t>
  </si>
  <si>
    <t xml:space="preserve">6.90% Stress Test for BTL </t>
  </si>
  <si>
    <t>Interest Only Result</t>
  </si>
  <si>
    <t>Repayment Result</t>
  </si>
  <si>
    <t>Usable Budget</t>
  </si>
  <si>
    <t>Net Monthly Budget</t>
  </si>
  <si>
    <t>Total Expenditure</t>
  </si>
  <si>
    <t>Total Usable Income</t>
  </si>
  <si>
    <t>Total Loan</t>
  </si>
  <si>
    <t>7.65 Stress Test for Woodland/Mooring</t>
  </si>
  <si>
    <t>7.65 Stress Test for Residential</t>
  </si>
  <si>
    <t>Term Years</t>
  </si>
  <si>
    <t>Term Months</t>
  </si>
  <si>
    <t>Term (Years)</t>
  </si>
  <si>
    <t>Stress Test Rate (%)</t>
  </si>
  <si>
    <t>Maximum Loan Interest Only</t>
  </si>
  <si>
    <t>Stress Tested Annuity</t>
  </si>
  <si>
    <t>Stress Tested Interest Only</t>
  </si>
  <si>
    <t>Maximum Loan Annuity</t>
  </si>
  <si>
    <t>Maximum Loan (Annuity)</t>
  </si>
  <si>
    <t>Maximum Loan (Interest Only)</t>
  </si>
  <si>
    <t xml:space="preserve"> </t>
  </si>
  <si>
    <t>Term</t>
  </si>
  <si>
    <t>Gas</t>
  </si>
  <si>
    <t>Electric</t>
  </si>
  <si>
    <t>Water</t>
  </si>
  <si>
    <t>Other</t>
  </si>
  <si>
    <t>Applicant 1</t>
  </si>
  <si>
    <t>Applicant 2</t>
  </si>
  <si>
    <t>Home</t>
  </si>
  <si>
    <t>Car(s)</t>
  </si>
  <si>
    <t>Life</t>
  </si>
  <si>
    <t>Mobile(s)</t>
  </si>
  <si>
    <t>Total Income</t>
  </si>
  <si>
    <t xml:space="preserve">Maximum Loan Capital Repayment </t>
  </si>
  <si>
    <t>Monthly Repayment (Interest Only)</t>
  </si>
  <si>
    <t>Monthly Repayment (Capital Repayment)</t>
  </si>
  <si>
    <t>Credit Card Expenditure</t>
  </si>
  <si>
    <t>Child maintenance</t>
  </si>
  <si>
    <t>Travel/transport</t>
  </si>
  <si>
    <t>Holiday/entertainment</t>
  </si>
  <si>
    <t>Council tax</t>
  </si>
  <si>
    <t>Mortgage (if to remain)</t>
  </si>
  <si>
    <t>Satellite &amp; other subscriptions</t>
  </si>
  <si>
    <t>Landline &amp; broadband</t>
  </si>
  <si>
    <t>Food</t>
  </si>
  <si>
    <t>Ground rent &amp; service charge</t>
  </si>
  <si>
    <t>Clothing</t>
  </si>
  <si>
    <t>Pension contribution</t>
  </si>
  <si>
    <t>Interest only repayment vehicle</t>
  </si>
  <si>
    <t>Rent (if to remain or shared ownership)</t>
  </si>
  <si>
    <t>Total monthly repayment</t>
  </si>
  <si>
    <t>Total loan amount</t>
  </si>
  <si>
    <t>Ecology Building Society is authorised by the Prudential Regulation Authority and regulated by the Financial Conduct Authority and the Prudential Regulation Authority.  Financial Services Register No. 162090</t>
  </si>
  <si>
    <t>Loan amount</t>
  </si>
  <si>
    <t>Net monthly basic salary &amp; contractual allowances</t>
  </si>
  <si>
    <t>Monthly expenditure</t>
  </si>
  <si>
    <t>Education &amp; childcare</t>
  </si>
  <si>
    <t>Monthly utility bills</t>
  </si>
  <si>
    <t>Monthly insurance</t>
  </si>
  <si>
    <t>Monthly communication</t>
  </si>
  <si>
    <t>TV licence</t>
  </si>
  <si>
    <t>Total balance of all loans/hire purchase</t>
  </si>
  <si>
    <t>Total balance of all credit cards</t>
  </si>
  <si>
    <t>Term (years)</t>
  </si>
  <si>
    <t>Interest rate</t>
  </si>
  <si>
    <t>The figures provided by this calculator are for illustration only and are designed to give an indication of the amount that we may be able to lend. The figures provided do not constitute an offer to lend. The actual amount that we may be able to lend will depend on the applicant's financial situation including a full assessment of affordability (including a credit check), the property value and the size of the applicant's deposit.  This will take into account actual income and outgoings, when an application is submitted. Interest only loans require an acceptable repayment strategy.</t>
  </si>
  <si>
    <t>Repayment</t>
  </si>
  <si>
    <t>Interest Only</t>
  </si>
  <si>
    <t>Product</t>
  </si>
  <si>
    <t>Self Build</t>
  </si>
  <si>
    <t xml:space="preserve">Offsite Build </t>
  </si>
  <si>
    <t>Offsite Build - Advance</t>
  </si>
  <si>
    <t>Conversion</t>
  </si>
  <si>
    <t>Moorings</t>
  </si>
  <si>
    <t>Woodlands</t>
  </si>
  <si>
    <t>Buy-To-Let</t>
  </si>
  <si>
    <t>Shared Ownership</t>
  </si>
  <si>
    <t>Eco-Home</t>
  </si>
  <si>
    <t xml:space="preserve">THIS CALCULATOR TOOL IS INTENDED FOR PROFESSIONAL INTERMEDIARY USE ONLY
</t>
  </si>
  <si>
    <t>Version</t>
  </si>
  <si>
    <t>Date of Go Live</t>
  </si>
  <si>
    <t>Change</t>
  </si>
  <si>
    <t>Stress Rate reduced from 3% to 1.75%. Eco Homes product added.</t>
  </si>
  <si>
    <t>min 5.5% or 2 % above product</t>
  </si>
  <si>
    <t>Self Build On sale product range changed from 6.49% to 6.24%</t>
  </si>
  <si>
    <t>All product rates reduced by 0.25%</t>
  </si>
  <si>
    <t>Version 2</t>
  </si>
  <si>
    <t>Renovation 80% LTV product added. 5.29%</t>
  </si>
  <si>
    <t>Renovation - 90% LTV</t>
  </si>
  <si>
    <t>Renovation - 80% LTV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</si>
</sst>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
    <numFmt numFmtId="165" formatCode="0.000"/>
    <numFmt numFmtId="166" formatCode="_-&quot;£&quot;* #,##0.000_-;\-&quot;£&quot;* #,##0.000_-;_-&quot;£&quot;* &quot;-&quot;???_-;_-@_-"/>
    <numFmt numFmtId="167" formatCode="&quot;£&quot;#,##0"/>
    <numFmt numFmtId="168" formatCode="#,##0.00_ ;\-#,##0.00\ "/>
  </numFmts>
  <fonts count="16" x14ac:knownFonts="1">
    <font>
      <sz val="10"/>
      <name val="Arial"/>
    </font>
    <font>
      <b/>
      <sz val="10"/>
      <name val="Arial"/>
      <family val="2"/>
    </font>
    <font>
      <sz val="10"/>
      <name val="Arial"/>
      <family val="2"/>
    </font>
    <font>
      <sz val="8"/>
      <name val="Arial"/>
      <family val="2"/>
    </font>
    <font>
      <sz val="9"/>
      <name val="Arial"/>
      <family val="2"/>
    </font>
    <font>
      <sz val="11"/>
      <color theme="1"/>
      <name val="Calibri"/>
      <family val="2"/>
      <scheme val="minor"/>
    </font>
    <font>
      <sz val="11"/>
      <color theme="0"/>
      <name val="Calibri"/>
      <family val="2"/>
      <scheme val="minor"/>
    </font>
    <font>
      <b/>
      <sz val="11"/>
      <color theme="0"/>
      <name val="Calibri"/>
      <family val="2"/>
      <scheme val="minor"/>
    </font>
    <font>
      <sz val="10"/>
      <name val="Calibri"/>
      <family val="2"/>
      <scheme val="minor"/>
    </font>
    <font>
      <sz val="11"/>
      <name val="Calibri"/>
      <family val="2"/>
      <scheme val="minor"/>
    </font>
    <font>
      <sz val="9"/>
      <name val="Calibri"/>
      <family val="2"/>
      <scheme val="minor"/>
    </font>
    <font>
      <b/>
      <sz val="10"/>
      <name val="Calibri"/>
      <family val="2"/>
      <scheme val="minor"/>
    </font>
    <font>
      <b/>
      <sz val="8"/>
      <color rgb="FFFF0000"/>
      <name val="Calibri"/>
      <family val="2"/>
      <scheme val="minor"/>
    </font>
    <font>
      <b/>
      <sz val="8"/>
      <name val="Calibri"/>
      <family val="2"/>
      <scheme val="minor"/>
    </font>
    <font>
      <b/>
      <sz val="9"/>
      <name val="Calibri"/>
      <family val="2"/>
      <scheme val="minor"/>
    </font>
    <font>
      <b/>
      <sz val="9"/>
      <color rgb="FF161616"/>
      <name val="Calibri"/>
      <family val="2"/>
      <scheme val="minor"/>
    </font>
  </fonts>
  <fills count="9">
    <fill>
      <patternFill patternType="none"/>
    </fill>
    <fill>
      <patternFill patternType="gray125"/>
    </fill>
    <fill>
      <patternFill patternType="solid">
        <fgColor indexed="65"/>
        <bgColor theme="0"/>
      </patternFill>
    </fill>
    <fill>
      <patternFill patternType="solid">
        <fgColor indexed="13"/>
        <bgColor theme="0"/>
      </patternFill>
    </fill>
    <fill>
      <patternFill patternType="solid">
        <fgColor rgb="FFFFFF00"/>
        <bgColor theme="0"/>
      </patternFill>
    </fill>
    <fill>
      <patternFill patternType="solid">
        <fgColor rgb="FFFFC000"/>
        <bgColor theme="0"/>
      </patternFill>
    </fill>
    <fill>
      <patternFill patternType="solid">
        <fgColor theme="0"/>
        <bgColor theme="0"/>
      </patternFill>
    </fill>
    <fill>
      <patternFill patternType="solid">
        <fgColor theme="0"/>
        <bgColor indexed="64"/>
      </patternFill>
    </fill>
    <fill>
      <patternFill patternType="solid">
        <fgColor rgb="FF1B452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0">
    <xf numFmtId="0" fontId="0" fillId="0" borderId="0" xfId="0"/>
    <xf numFmtId="0" fontId="0" fillId="2" borderId="0" xfId="0" applyFill="1"/>
    <xf numFmtId="0" fontId="0" fillId="2" borderId="0" xfId="0" applyFill="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Alignment="1" applyProtection="1">
      <alignment horizontal="right"/>
      <protection locked="0"/>
    </xf>
    <xf numFmtId="0" fontId="1" fillId="2" borderId="0" xfId="0" applyFont="1" applyFill="1" applyAlignment="1">
      <alignment horizontal="right"/>
    </xf>
    <xf numFmtId="0" fontId="1" fillId="2" borderId="0" xfId="0" applyFont="1" applyFill="1"/>
    <xf numFmtId="2" fontId="0" fillId="3" borderId="0" xfId="0" applyNumberFormat="1" applyFill="1"/>
    <xf numFmtId="0" fontId="1" fillId="4" borderId="0" xfId="0" applyFont="1" applyFill="1"/>
    <xf numFmtId="0" fontId="0" fillId="4" borderId="0" xfId="0" applyFill="1"/>
    <xf numFmtId="44" fontId="0" fillId="3" borderId="0" xfId="0" applyNumberFormat="1" applyFill="1"/>
    <xf numFmtId="0" fontId="0" fillId="3" borderId="0" xfId="0" applyFill="1"/>
    <xf numFmtId="2" fontId="0" fillId="2" borderId="0" xfId="0" applyNumberFormat="1" applyFill="1"/>
    <xf numFmtId="1" fontId="0" fillId="4" borderId="0" xfId="0" applyNumberFormat="1" applyFill="1"/>
    <xf numFmtId="44" fontId="0" fillId="5" borderId="9" xfId="0" applyNumberFormat="1" applyFill="1" applyBorder="1" applyAlignment="1" applyProtection="1">
      <alignment horizontal="right"/>
      <protection locked="0"/>
    </xf>
    <xf numFmtId="1" fontId="0" fillId="5" borderId="10" xfId="0" applyNumberFormat="1" applyFill="1" applyBorder="1" applyAlignment="1" applyProtection="1">
      <alignment horizontal="right"/>
      <protection locked="0"/>
    </xf>
    <xf numFmtId="2" fontId="0" fillId="5" borderId="11" xfId="0" applyNumberFormat="1" applyFill="1" applyBorder="1" applyAlignment="1" applyProtection="1">
      <alignment horizontal="right"/>
      <protection locked="0"/>
    </xf>
    <xf numFmtId="43" fontId="0" fillId="6" borderId="12" xfId="0" applyNumberFormat="1" applyFill="1" applyBorder="1" applyAlignment="1">
      <alignment horizontal="right"/>
    </xf>
    <xf numFmtId="43" fontId="0" fillId="2" borderId="12" xfId="0" applyNumberFormat="1" applyFill="1" applyBorder="1" applyAlignment="1">
      <alignment horizontal="right"/>
    </xf>
    <xf numFmtId="1" fontId="0" fillId="3" borderId="0" xfId="0" applyNumberFormat="1" applyFill="1"/>
    <xf numFmtId="0" fontId="0" fillId="2" borderId="13" xfId="0" applyFill="1" applyBorder="1"/>
    <xf numFmtId="0" fontId="1" fillId="2" borderId="12" xfId="0" applyFont="1" applyFill="1" applyBorder="1"/>
    <xf numFmtId="0" fontId="1" fillId="2" borderId="0" xfId="0" applyFont="1" applyFill="1" applyProtection="1">
      <protection locked="0"/>
    </xf>
    <xf numFmtId="0" fontId="0" fillId="2" borderId="2" xfId="0" applyFill="1" applyBorder="1" applyAlignment="1" applyProtection="1">
      <alignment horizontal="right"/>
      <protection locked="0"/>
    </xf>
    <xf numFmtId="0" fontId="2" fillId="2" borderId="0" xfId="0" applyFont="1" applyFill="1"/>
    <xf numFmtId="0" fontId="1" fillId="2" borderId="4" xfId="0" applyFont="1" applyFill="1" applyBorder="1" applyProtection="1">
      <protection locked="0"/>
    </xf>
    <xf numFmtId="166" fontId="1" fillId="2" borderId="0" xfId="0" applyNumberFormat="1" applyFont="1" applyFill="1" applyAlignment="1">
      <alignment horizontal="right"/>
    </xf>
    <xf numFmtId="44" fontId="0" fillId="2" borderId="0" xfId="0" applyNumberFormat="1" applyFill="1" applyProtection="1">
      <protection locked="0"/>
    </xf>
    <xf numFmtId="44" fontId="0" fillId="2" borderId="4" xfId="0" applyNumberFormat="1" applyFill="1" applyBorder="1" applyProtection="1">
      <protection locked="0"/>
    </xf>
    <xf numFmtId="0" fontId="0" fillId="2" borderId="7" xfId="0" applyFill="1" applyBorder="1" applyAlignment="1" applyProtection="1">
      <alignment horizontal="right"/>
      <protection locked="0"/>
    </xf>
    <xf numFmtId="0" fontId="0" fillId="2" borderId="0" xfId="0" applyFill="1" applyAlignment="1">
      <alignment horizontal="right"/>
    </xf>
    <xf numFmtId="0" fontId="1" fillId="4" borderId="14" xfId="0" applyFont="1" applyFill="1" applyBorder="1"/>
    <xf numFmtId="44" fontId="1" fillId="4" borderId="15" xfId="0" applyNumberFormat="1" applyFont="1" applyFill="1" applyBorder="1"/>
    <xf numFmtId="0" fontId="1" fillId="6" borderId="0" xfId="0" applyFont="1" applyFill="1"/>
    <xf numFmtId="0" fontId="2" fillId="6" borderId="0" xfId="0" applyFont="1" applyFill="1"/>
    <xf numFmtId="1" fontId="1" fillId="2" borderId="0" xfId="0" applyNumberFormat="1" applyFont="1" applyFill="1"/>
    <xf numFmtId="43" fontId="0" fillId="2" borderId="16" xfId="0" applyNumberFormat="1" applyFill="1" applyBorder="1" applyAlignment="1">
      <alignment horizontal="right"/>
    </xf>
    <xf numFmtId="43" fontId="0" fillId="2" borderId="0" xfId="0" applyNumberFormat="1" applyFill="1" applyAlignment="1">
      <alignment horizontal="right"/>
    </xf>
    <xf numFmtId="10" fontId="0" fillId="2" borderId="0" xfId="0" applyNumberFormat="1" applyFill="1"/>
    <xf numFmtId="2" fontId="1" fillId="2" borderId="12" xfId="0" applyNumberFormat="1" applyFont="1" applyFill="1" applyBorder="1" applyAlignment="1">
      <alignment horizontal="right"/>
    </xf>
    <xf numFmtId="165" fontId="0" fillId="3" borderId="0" xfId="0" applyNumberFormat="1" applyFill="1"/>
    <xf numFmtId="0" fontId="8" fillId="0" borderId="0" xfId="0" applyFont="1"/>
    <xf numFmtId="167" fontId="8" fillId="0" borderId="0" xfId="0" applyNumberFormat="1" applyFont="1"/>
    <xf numFmtId="164" fontId="8" fillId="0" borderId="0" xfId="0" applyNumberFormat="1" applyFont="1"/>
    <xf numFmtId="0" fontId="9" fillId="0" borderId="12" xfId="0" applyFont="1" applyBorder="1"/>
    <xf numFmtId="167" fontId="9" fillId="0" borderId="12" xfId="0" applyNumberFormat="1" applyFont="1" applyBorder="1" applyAlignment="1" applyProtection="1">
      <alignment horizontal="center"/>
      <protection locked="0"/>
    </xf>
    <xf numFmtId="0" fontId="9" fillId="0" borderId="12" xfId="0" applyFont="1" applyBorder="1" applyAlignment="1" applyProtection="1">
      <alignment horizontal="center"/>
      <protection locked="0"/>
    </xf>
    <xf numFmtId="0" fontId="9" fillId="7" borderId="12" xfId="0" applyFont="1" applyFill="1" applyBorder="1"/>
    <xf numFmtId="167" fontId="9" fillId="0" borderId="17" xfId="0" applyNumberFormat="1" applyFont="1" applyBorder="1" applyAlignment="1" applyProtection="1">
      <alignment horizontal="left"/>
      <protection locked="0"/>
    </xf>
    <xf numFmtId="0" fontId="9" fillId="0" borderId="0" xfId="0" applyFont="1"/>
    <xf numFmtId="167" fontId="9" fillId="0" borderId="0" xfId="0" applyNumberFormat="1" applyFont="1" applyAlignment="1">
      <alignment horizontal="center"/>
    </xf>
    <xf numFmtId="167" fontId="9" fillId="7" borderId="12" xfId="0" applyNumberFormat="1" applyFont="1" applyFill="1" applyBorder="1" applyAlignment="1" applyProtection="1">
      <alignment horizontal="center"/>
      <protection locked="0"/>
    </xf>
    <xf numFmtId="0" fontId="7" fillId="8" borderId="17" xfId="0" applyFont="1" applyFill="1" applyBorder="1"/>
    <xf numFmtId="0" fontId="9" fillId="8" borderId="18" xfId="0" applyFont="1" applyFill="1" applyBorder="1"/>
    <xf numFmtId="0" fontId="6" fillId="8" borderId="18" xfId="0" applyFont="1" applyFill="1" applyBorder="1"/>
    <xf numFmtId="0" fontId="7" fillId="8" borderId="12" xfId="0" applyFont="1" applyFill="1" applyBorder="1"/>
    <xf numFmtId="167" fontId="7" fillId="8" borderId="12" xfId="0" applyNumberFormat="1" applyFont="1" applyFill="1" applyBorder="1" applyAlignment="1">
      <alignment horizontal="center"/>
    </xf>
    <xf numFmtId="164" fontId="7" fillId="8" borderId="12" xfId="0" applyNumberFormat="1" applyFont="1" applyFill="1" applyBorder="1" applyAlignment="1">
      <alignment horizontal="center"/>
    </xf>
    <xf numFmtId="0" fontId="7" fillId="8" borderId="17" xfId="0" applyFont="1" applyFill="1" applyBorder="1" applyAlignment="1">
      <alignment horizontal="left"/>
    </xf>
    <xf numFmtId="0" fontId="7" fillId="8" borderId="18" xfId="0" applyFont="1" applyFill="1" applyBorder="1" applyAlignment="1">
      <alignment horizontal="left"/>
    </xf>
    <xf numFmtId="167" fontId="5" fillId="0" borderId="12" xfId="0" applyNumberFormat="1" applyFont="1" applyBorder="1" applyAlignment="1" applyProtection="1">
      <alignment horizontal="center"/>
      <protection locked="0"/>
    </xf>
    <xf numFmtId="0" fontId="10" fillId="0" borderId="0" xfId="0" applyFont="1" applyAlignment="1">
      <alignment horizontal="left"/>
    </xf>
    <xf numFmtId="0" fontId="11" fillId="0" borderId="0" xfId="0" applyFont="1"/>
    <xf numFmtId="168" fontId="0" fillId="2" borderId="0" xfId="0" applyNumberFormat="1" applyFill="1" applyProtection="1">
      <protection locked="0"/>
    </xf>
    <xf numFmtId="0" fontId="9" fillId="0" borderId="0" xfId="0" applyFont="1" applyAlignment="1" applyProtection="1">
      <alignment horizontal="center"/>
      <protection locked="0"/>
    </xf>
    <xf numFmtId="10" fontId="0" fillId="0" borderId="0" xfId="0" applyNumberFormat="1"/>
    <xf numFmtId="0" fontId="0" fillId="0" borderId="12" xfId="0" applyBorder="1"/>
    <xf numFmtId="14" fontId="0" fillId="0" borderId="0" xfId="0" applyNumberFormat="1"/>
    <xf numFmtId="0" fontId="0" fillId="0" borderId="0" xfId="0" applyAlignment="1">
      <alignment wrapText="1"/>
    </xf>
    <xf numFmtId="0" fontId="2" fillId="0" borderId="0" xfId="0" applyFont="1" applyAlignment="1">
      <alignment wrapText="1"/>
    </xf>
    <xf numFmtId="0" fontId="2" fillId="0" borderId="0" xfId="0" applyFont="1"/>
    <xf numFmtId="0" fontId="12" fillId="0" borderId="0" xfId="0" applyFont="1" applyAlignment="1">
      <alignment horizontal="left" vertical="center" wrapText="1"/>
    </xf>
    <xf numFmtId="0" fontId="13" fillId="0" borderId="0" xfId="0" applyFont="1" applyAlignment="1">
      <alignment horizontal="center" vertical="top" wrapText="1"/>
    </xf>
    <xf numFmtId="0" fontId="3" fillId="0" borderId="0" xfId="0" applyFont="1" applyAlignment="1">
      <alignment wrapText="1"/>
    </xf>
    <xf numFmtId="0" fontId="14" fillId="0" borderId="0" xfId="0" applyFont="1" applyAlignment="1">
      <alignment horizontal="left" vertical="top" wrapText="1"/>
    </xf>
    <xf numFmtId="0" fontId="4" fillId="0" borderId="0" xfId="0" applyFont="1" applyAlignment="1">
      <alignment horizontal="left" wrapText="1"/>
    </xf>
    <xf numFmtId="0" fontId="7" fillId="8" borderId="17" xfId="0" applyFont="1" applyFill="1" applyBorder="1"/>
    <xf numFmtId="0" fontId="7" fillId="8" borderId="18" xfId="0" applyFont="1" applyFill="1" applyBorder="1"/>
    <xf numFmtId="10" fontId="9" fillId="0" borderId="17" xfId="0" applyNumberFormat="1" applyFont="1" applyBorder="1" applyAlignment="1">
      <alignment horizontal="center"/>
    </xf>
    <xf numFmtId="0" fontId="0" fillId="0" borderId="18" xfId="0" applyBorder="1"/>
    <xf numFmtId="0" fontId="15" fillId="0" borderId="0" xfId="0" applyFont="1" applyAlignment="1">
      <alignment horizontal="left" vertical="center" wrapText="1"/>
    </xf>
    <xf numFmtId="0" fontId="14" fillId="0" borderId="0" xfId="0" applyFont="1" applyAlignment="1">
      <alignment horizontal="left" wrapText="1"/>
    </xf>
    <xf numFmtId="0" fontId="4" fillId="0" borderId="0" xfId="0" applyFont="1" applyAlignment="1">
      <alignment horizontal="left"/>
    </xf>
  </cellXfs>
  <cellStyles count="1">
    <cellStyle name="Normal" xfId="0" builtinId="0"/>
  </cellStyles>
  <dxfs count="6">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114759</xdr:colOff>
      <xdr:row>0</xdr:row>
      <xdr:rowOff>28575</xdr:rowOff>
    </xdr:from>
    <xdr:to>
      <xdr:col>1</xdr:col>
      <xdr:colOff>2386987</xdr:colOff>
      <xdr:row>3</xdr:row>
      <xdr:rowOff>76200</xdr:rowOff>
    </xdr:to>
    <xdr:pic>
      <xdr:nvPicPr>
        <xdr:cNvPr id="1229" name="Picture 1" descr="Logo Colour - Registered Copy">
          <a:extLst>
            <a:ext uri="{FF2B5EF4-FFF2-40B4-BE49-F238E27FC236}">
              <a16:creationId xmlns:a16="http://schemas.microsoft.com/office/drawing/2014/main" id="{6B55AFDB-31C5-3C12-C66C-83C3D8B8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59" y="28575"/>
          <a:ext cx="2501746" cy="896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316321-9B48-4523-9DCB-75DB0F3B99F2}" name="Table1" displayName="Table1" ref="A1:C22" totalsRowShown="0">
  <autoFilter ref="A1:C22" xr:uid="{B5316321-9B48-4523-9DCB-75DB0F3B99F2}">
    <filterColumn colId="0" hiddenButton="1"/>
    <filterColumn colId="1" hiddenButton="1"/>
    <filterColumn colId="2" hiddenButton="1"/>
  </autoFilter>
  <tableColumns count="3">
    <tableColumn id="1" xr3:uid="{CC35BDCD-ED40-46F2-AFBE-F9AD98860FD9}" name="Version"/>
    <tableColumn id="2" xr3:uid="{01DCB127-87F7-4835-9C63-F7D4A1F7CD1B}" name="Date of Go Live"/>
    <tableColumn id="3" xr3:uid="{A65BB69E-92AE-48A8-8BE1-D9E5721B1FB6}" name="Change" dataDxf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71D42-16AE-472B-908B-031B146A963C}">
  <sheetPr codeName="Sheet1">
    <pageSetUpPr fitToPage="1"/>
  </sheetPr>
  <dimension ref="B2:J56"/>
  <sheetViews>
    <sheetView showGridLines="0" tabSelected="1" zoomScale="83" zoomScaleNormal="100" workbookViewId="0">
      <selection activeCell="M14" sqref="M14"/>
    </sheetView>
  </sheetViews>
  <sheetFormatPr defaultColWidth="9.140625" defaultRowHeight="12.75" x14ac:dyDescent="0.2"/>
  <cols>
    <col min="1" max="1" width="3.42578125" style="48" customWidth="1"/>
    <col min="2" max="2" width="39.85546875" style="48" customWidth="1"/>
    <col min="3" max="3" width="25.5703125" style="48" customWidth="1"/>
    <col min="4" max="4" width="9.140625" style="48"/>
    <col min="5" max="5" width="13" style="48" customWidth="1"/>
    <col min="6" max="6" width="18.42578125" style="48" customWidth="1"/>
    <col min="7" max="7" width="9.140625" style="48"/>
    <col min="8" max="8" width="39" style="48" bestFit="1" customWidth="1"/>
    <col min="9" max="9" width="15.85546875" style="48" customWidth="1"/>
    <col min="10" max="10" width="0.42578125" style="48" customWidth="1"/>
    <col min="11" max="16384" width="9.140625" style="48"/>
  </cols>
  <sheetData>
    <row r="2" spans="2:10" ht="42" customHeight="1" x14ac:dyDescent="0.2">
      <c r="C2" s="78" t="s">
        <v>87</v>
      </c>
      <c r="D2" s="78"/>
      <c r="E2" s="78"/>
      <c r="F2" s="78"/>
    </row>
    <row r="3" spans="2:10" x14ac:dyDescent="0.2">
      <c r="C3" s="69" t="s">
        <v>95</v>
      </c>
    </row>
    <row r="5" spans="2:10" ht="15" x14ac:dyDescent="0.25">
      <c r="B5" s="83" t="s">
        <v>62</v>
      </c>
      <c r="C5" s="84"/>
      <c r="E5" s="83" t="s">
        <v>72</v>
      </c>
      <c r="F5" s="84"/>
      <c r="H5" s="62" t="s">
        <v>42</v>
      </c>
      <c r="I5" s="63" t="e">
        <f>'Affordability Assessment'!C34</f>
        <v>#DIV/0!</v>
      </c>
    </row>
    <row r="6" spans="2:10" ht="15" x14ac:dyDescent="0.25">
      <c r="B6" s="51" t="s">
        <v>60</v>
      </c>
      <c r="C6" s="58">
        <v>0</v>
      </c>
      <c r="E6" s="51" t="s">
        <v>30</v>
      </c>
      <c r="F6" s="53">
        <v>25</v>
      </c>
      <c r="H6" s="62" t="s">
        <v>23</v>
      </c>
      <c r="I6" s="63" t="e">
        <f>'Affordability Assessment'!C37</f>
        <v>#DIV/0!</v>
      </c>
    </row>
    <row r="7" spans="2:10" ht="15" x14ac:dyDescent="0.25">
      <c r="B7" s="51" t="s">
        <v>77</v>
      </c>
      <c r="C7" s="73" t="s">
        <v>86</v>
      </c>
      <c r="E7" s="56"/>
      <c r="F7" s="71"/>
      <c r="H7" s="56"/>
      <c r="I7" s="57"/>
    </row>
    <row r="8" spans="2:10" ht="15" x14ac:dyDescent="0.25">
      <c r="H8" s="56"/>
      <c r="I8" s="57"/>
    </row>
    <row r="9" spans="2:10" ht="15" x14ac:dyDescent="0.25">
      <c r="B9" s="59" t="s">
        <v>63</v>
      </c>
      <c r="C9" s="60">
        <v>0</v>
      </c>
      <c r="E9" s="83" t="s">
        <v>73</v>
      </c>
      <c r="F9" s="84"/>
      <c r="H9" s="62" t="s">
        <v>44</v>
      </c>
      <c r="I9" s="64">
        <f>'Amortisation Repayment'!E6</f>
        <v>0</v>
      </c>
    </row>
    <row r="10" spans="2:10" ht="15" x14ac:dyDescent="0.25">
      <c r="B10" s="51" t="s">
        <v>35</v>
      </c>
      <c r="C10" s="58">
        <v>0</v>
      </c>
      <c r="E10" s="85">
        <f>VLOOKUP(C7,Lookups!$A$1:$B$11,2,FALSE)</f>
        <v>4.9000000000000002E-2</v>
      </c>
      <c r="F10" s="86"/>
      <c r="H10" s="62" t="s">
        <v>43</v>
      </c>
      <c r="I10" s="64">
        <f>'Amortisation Repayment'!F6</f>
        <v>0</v>
      </c>
    </row>
    <row r="11" spans="2:10" ht="15" x14ac:dyDescent="0.25">
      <c r="B11" s="51" t="s">
        <v>36</v>
      </c>
      <c r="C11" s="58">
        <v>0</v>
      </c>
    </row>
    <row r="12" spans="2:10" x14ac:dyDescent="0.2">
      <c r="E12" s="87" t="s">
        <v>74</v>
      </c>
      <c r="F12" s="88"/>
      <c r="G12" s="88"/>
      <c r="H12" s="88"/>
      <c r="I12" s="88"/>
      <c r="J12" s="88"/>
    </row>
    <row r="13" spans="2:10" ht="15" x14ac:dyDescent="0.25">
      <c r="B13" s="59" t="s">
        <v>64</v>
      </c>
      <c r="C13" s="61"/>
      <c r="E13" s="88"/>
      <c r="F13" s="88"/>
      <c r="G13" s="88"/>
      <c r="H13" s="88"/>
      <c r="I13" s="88"/>
      <c r="J13" s="88"/>
    </row>
    <row r="14" spans="2:10" ht="13.5" customHeight="1" x14ac:dyDescent="0.25">
      <c r="B14" s="54" t="s">
        <v>50</v>
      </c>
      <c r="C14" s="58">
        <v>0</v>
      </c>
      <c r="E14" s="88"/>
      <c r="F14" s="88"/>
      <c r="G14" s="88"/>
      <c r="H14" s="88"/>
      <c r="I14" s="88"/>
      <c r="J14" s="88"/>
    </row>
    <row r="15" spans="2:10" ht="15" x14ac:dyDescent="0.25">
      <c r="B15" s="51" t="s">
        <v>58</v>
      </c>
      <c r="C15" s="58">
        <v>0</v>
      </c>
      <c r="E15" s="89"/>
      <c r="F15" s="89"/>
      <c r="G15" s="89"/>
      <c r="H15" s="89"/>
      <c r="I15" s="89"/>
      <c r="J15" s="89"/>
    </row>
    <row r="16" spans="2:10" ht="15" x14ac:dyDescent="0.25">
      <c r="B16" s="51" t="s">
        <v>53</v>
      </c>
      <c r="C16" s="58">
        <v>0</v>
      </c>
      <c r="E16" s="68"/>
      <c r="F16" s="68"/>
      <c r="G16" s="68"/>
      <c r="H16" s="68"/>
      <c r="I16" s="68"/>
      <c r="J16" s="68"/>
    </row>
    <row r="17" spans="2:10" ht="15" customHeight="1" x14ac:dyDescent="0.25">
      <c r="B17" s="51" t="s">
        <v>55</v>
      </c>
      <c r="C17" s="58">
        <v>0</v>
      </c>
      <c r="E17" s="81" t="s">
        <v>61</v>
      </c>
      <c r="F17" s="82"/>
      <c r="G17" s="82"/>
      <c r="H17" s="82"/>
      <c r="I17" s="82"/>
      <c r="J17" s="68"/>
    </row>
    <row r="18" spans="2:10" ht="15" x14ac:dyDescent="0.25">
      <c r="B18" s="51" t="s">
        <v>48</v>
      </c>
      <c r="C18" s="58">
        <v>0</v>
      </c>
      <c r="E18" s="82"/>
      <c r="F18" s="82"/>
      <c r="G18" s="82"/>
      <c r="H18" s="82"/>
      <c r="I18" s="82"/>
      <c r="J18" s="68"/>
    </row>
    <row r="19" spans="2:10" ht="15" x14ac:dyDescent="0.25">
      <c r="B19" s="51" t="s">
        <v>56</v>
      </c>
      <c r="C19" s="58">
        <v>0</v>
      </c>
      <c r="E19" s="81"/>
      <c r="F19" s="82"/>
      <c r="G19" s="82"/>
      <c r="H19" s="82"/>
      <c r="I19" s="82"/>
      <c r="J19" s="68"/>
    </row>
    <row r="20" spans="2:10" ht="15" x14ac:dyDescent="0.25">
      <c r="B20" s="51" t="s">
        <v>65</v>
      </c>
      <c r="C20" s="58">
        <v>0</v>
      </c>
      <c r="E20" s="82"/>
      <c r="F20" s="82"/>
      <c r="G20" s="82"/>
      <c r="H20" s="82"/>
      <c r="I20" s="82"/>
      <c r="J20" s="68"/>
    </row>
    <row r="21" spans="2:10" ht="15" x14ac:dyDescent="0.25">
      <c r="B21" s="51" t="s">
        <v>46</v>
      </c>
      <c r="C21" s="58">
        <v>0</v>
      </c>
    </row>
    <row r="22" spans="2:10" ht="15" x14ac:dyDescent="0.25">
      <c r="B22" s="51" t="s">
        <v>54</v>
      </c>
      <c r="C22" s="58">
        <v>0</v>
      </c>
    </row>
    <row r="23" spans="2:10" ht="15" x14ac:dyDescent="0.25">
      <c r="B23" s="51" t="s">
        <v>57</v>
      </c>
      <c r="C23" s="58">
        <v>0</v>
      </c>
    </row>
    <row r="24" spans="2:10" ht="15" x14ac:dyDescent="0.25">
      <c r="B24" s="51" t="s">
        <v>47</v>
      </c>
      <c r="C24" s="58">
        <v>0</v>
      </c>
    </row>
    <row r="25" spans="2:10" ht="15" x14ac:dyDescent="0.25">
      <c r="B25" s="59" t="s">
        <v>66</v>
      </c>
      <c r="C25" s="61"/>
      <c r="E25" s="79"/>
      <c r="F25" s="80"/>
      <c r="G25" s="80"/>
      <c r="H25" s="80"/>
      <c r="I25" s="80"/>
    </row>
    <row r="26" spans="2:10" ht="15" x14ac:dyDescent="0.25">
      <c r="B26" s="51" t="s">
        <v>31</v>
      </c>
      <c r="C26" s="58">
        <v>0</v>
      </c>
      <c r="E26" s="80"/>
      <c r="F26" s="80"/>
      <c r="G26" s="80"/>
      <c r="H26" s="80"/>
      <c r="I26" s="80"/>
    </row>
    <row r="27" spans="2:10" ht="15" x14ac:dyDescent="0.25">
      <c r="B27" s="51" t="s">
        <v>32</v>
      </c>
      <c r="C27" s="58">
        <v>0</v>
      </c>
    </row>
    <row r="28" spans="2:10" ht="15" x14ac:dyDescent="0.25">
      <c r="B28" s="51" t="s">
        <v>33</v>
      </c>
      <c r="C28" s="58">
        <v>0</v>
      </c>
    </row>
    <row r="29" spans="2:10" ht="15" x14ac:dyDescent="0.25">
      <c r="B29" s="51" t="s">
        <v>49</v>
      </c>
      <c r="C29" s="58">
        <v>0</v>
      </c>
    </row>
    <row r="30" spans="2:10" ht="15" x14ac:dyDescent="0.25">
      <c r="B30" s="51" t="s">
        <v>34</v>
      </c>
      <c r="C30" s="58">
        <v>0</v>
      </c>
    </row>
    <row r="31" spans="2:10" ht="15" x14ac:dyDescent="0.25">
      <c r="B31" s="59" t="s">
        <v>67</v>
      </c>
      <c r="C31" s="61"/>
    </row>
    <row r="32" spans="2:10" ht="15" x14ac:dyDescent="0.25">
      <c r="B32" s="51" t="s">
        <v>37</v>
      </c>
      <c r="C32" s="58">
        <v>0</v>
      </c>
    </row>
    <row r="33" spans="2:3" ht="15" x14ac:dyDescent="0.25">
      <c r="B33" s="51" t="s">
        <v>38</v>
      </c>
      <c r="C33" s="58">
        <v>0</v>
      </c>
    </row>
    <row r="34" spans="2:3" ht="15" x14ac:dyDescent="0.25">
      <c r="B34" s="51" t="s">
        <v>39</v>
      </c>
      <c r="C34" s="58">
        <v>0</v>
      </c>
    </row>
    <row r="35" spans="2:3" ht="15" x14ac:dyDescent="0.25">
      <c r="B35" s="51" t="s">
        <v>34</v>
      </c>
      <c r="C35" s="67">
        <v>0</v>
      </c>
    </row>
    <row r="36" spans="2:3" ht="15" x14ac:dyDescent="0.25">
      <c r="B36" s="59" t="s">
        <v>68</v>
      </c>
      <c r="C36" s="61"/>
    </row>
    <row r="37" spans="2:3" ht="15" x14ac:dyDescent="0.25">
      <c r="B37" s="51" t="s">
        <v>52</v>
      </c>
      <c r="C37" s="58">
        <v>0</v>
      </c>
    </row>
    <row r="38" spans="2:3" ht="15" x14ac:dyDescent="0.25">
      <c r="B38" s="51" t="s">
        <v>40</v>
      </c>
      <c r="C38" s="58">
        <v>0</v>
      </c>
    </row>
    <row r="39" spans="2:3" ht="15" x14ac:dyDescent="0.25">
      <c r="B39" s="51" t="s">
        <v>69</v>
      </c>
      <c r="C39" s="58">
        <v>0</v>
      </c>
    </row>
    <row r="40" spans="2:3" ht="15" x14ac:dyDescent="0.25">
      <c r="B40" s="51" t="s">
        <v>51</v>
      </c>
      <c r="C40" s="67">
        <v>0</v>
      </c>
    </row>
    <row r="41" spans="2:3" ht="15" x14ac:dyDescent="0.25">
      <c r="B41" s="65" t="s">
        <v>70</v>
      </c>
      <c r="C41" s="66" t="s">
        <v>59</v>
      </c>
    </row>
    <row r="42" spans="2:3" ht="15" x14ac:dyDescent="0.25">
      <c r="B42" s="55"/>
      <c r="C42" s="52">
        <v>0</v>
      </c>
    </row>
    <row r="43" spans="2:3" ht="15" x14ac:dyDescent="0.25">
      <c r="B43" s="65" t="s">
        <v>71</v>
      </c>
      <c r="C43" s="66" t="s">
        <v>59</v>
      </c>
    </row>
    <row r="44" spans="2:3" ht="15" x14ac:dyDescent="0.25">
      <c r="B44" s="55"/>
      <c r="C44" s="52">
        <v>0</v>
      </c>
    </row>
    <row r="51" spans="2:7" ht="12.75" hidden="1" customHeight="1" x14ac:dyDescent="0.2">
      <c r="B51" s="48" t="s">
        <v>45</v>
      </c>
      <c r="C51" s="49">
        <f>B44*3%</f>
        <v>0</v>
      </c>
    </row>
    <row r="52" spans="2:7" ht="12.75" hidden="1" customHeight="1" x14ac:dyDescent="0.2">
      <c r="B52" s="48" t="s">
        <v>14</v>
      </c>
      <c r="C52" s="49">
        <f>SUM(C14+C15+C16+C17+C18+C19+C20+C21+C22+C23+C24+C26+C27+C28+C29+C30+C32+C33+C34+C35+C37+C38+C39+C40+C42+C44+C51)</f>
        <v>0</v>
      </c>
    </row>
    <row r="53" spans="2:7" ht="13.5" hidden="1" customHeight="1" x14ac:dyDescent="0.2"/>
    <row r="54" spans="2:7" hidden="1" x14ac:dyDescent="0.2">
      <c r="B54" s="48" t="s">
        <v>41</v>
      </c>
      <c r="C54" s="49">
        <f>SUM(C10+C11)</f>
        <v>0</v>
      </c>
    </row>
    <row r="56" spans="2:7" ht="17.25" customHeight="1" x14ac:dyDescent="0.2">
      <c r="G56" s="50"/>
    </row>
  </sheetData>
  <dataConsolidate/>
  <mergeCells count="9">
    <mergeCell ref="C2:F2"/>
    <mergeCell ref="E25:I26"/>
    <mergeCell ref="E19:I20"/>
    <mergeCell ref="B5:C5"/>
    <mergeCell ref="E5:F5"/>
    <mergeCell ref="E9:F9"/>
    <mergeCell ref="E10:F10"/>
    <mergeCell ref="E12:J15"/>
    <mergeCell ref="E17:I18"/>
  </mergeCells>
  <conditionalFormatting sqref="I5">
    <cfRule type="containsErrors" priority="3" stopIfTrue="1">
      <formula>ISERROR(I5)</formula>
    </cfRule>
  </conditionalFormatting>
  <dataValidations count="1">
    <dataValidation type="list" allowBlank="1" showInputMessage="1" showErrorMessage="1" sqref="F6:F7" xr:uid="{7FB90709-6154-4E79-9D04-2CE511390DB2}">
      <formula1>"1,2,3,4,5,6,7,8,9,10,11,12,13,14,15,16,17,18,19,20,21,22,23,24,25,26,27,28,29,30"</formula1>
    </dataValidation>
  </dataValidations>
  <pageMargins left="0.7" right="0.7" top="0.75" bottom="0.75" header="0.3" footer="0.3"/>
  <pageSetup paperSize="9"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8AD6D3-4CBB-4387-9276-82895BE55FCE}">
          <x14:formula1>
            <xm:f>Lookups!$A$1:$A$7</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93D1-17E7-474A-8BD2-10D132A24CE1}">
  <sheetPr codeName="Sheet2"/>
  <dimension ref="A1:C5"/>
  <sheetViews>
    <sheetView workbookViewId="0">
      <selection activeCell="A5" sqref="A5"/>
    </sheetView>
  </sheetViews>
  <sheetFormatPr defaultRowHeight="12.75" x14ac:dyDescent="0.2"/>
  <cols>
    <col min="1" max="1" width="9.42578125" customWidth="1"/>
    <col min="2" max="2" width="16.28515625" customWidth="1"/>
    <col min="3" max="3" width="32.42578125" style="75" customWidth="1"/>
  </cols>
  <sheetData>
    <row r="1" spans="1:3" x14ac:dyDescent="0.2">
      <c r="A1" t="s">
        <v>88</v>
      </c>
      <c r="B1" t="s">
        <v>89</v>
      </c>
      <c r="C1" s="75" t="s">
        <v>90</v>
      </c>
    </row>
    <row r="2" spans="1:3" ht="25.5" x14ac:dyDescent="0.2">
      <c r="A2">
        <v>1.7</v>
      </c>
      <c r="B2" s="74">
        <v>45751</v>
      </c>
      <c r="C2" s="75" t="s">
        <v>91</v>
      </c>
    </row>
    <row r="3" spans="1:3" ht="25.5" x14ac:dyDescent="0.2">
      <c r="A3">
        <v>1.8</v>
      </c>
      <c r="B3" s="74">
        <v>45791</v>
      </c>
      <c r="C3" s="75" t="s">
        <v>93</v>
      </c>
    </row>
    <row r="4" spans="1:3" x14ac:dyDescent="0.2">
      <c r="A4">
        <v>1.9</v>
      </c>
      <c r="B4" s="74">
        <v>45805</v>
      </c>
      <c r="C4" s="75" t="s">
        <v>94</v>
      </c>
    </row>
    <row r="5" spans="1:3" ht="25.5" x14ac:dyDescent="0.2">
      <c r="A5">
        <v>2</v>
      </c>
      <c r="B5" s="74">
        <v>45845</v>
      </c>
      <c r="C5" s="76" t="s">
        <v>96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2B51-F435-47AB-8EB6-B91B96D24D45}">
  <sheetPr codeName="Sheet3"/>
  <dimension ref="A1:C11"/>
  <sheetViews>
    <sheetView workbookViewId="0">
      <selection activeCell="A7" sqref="A7"/>
    </sheetView>
  </sheetViews>
  <sheetFormatPr defaultRowHeight="12.75" x14ac:dyDescent="0.2"/>
  <cols>
    <col min="1" max="1" width="19.85546875" bestFit="1" customWidth="1"/>
  </cols>
  <sheetData>
    <row r="1" spans="1:3" x14ac:dyDescent="0.2">
      <c r="A1" t="s">
        <v>78</v>
      </c>
      <c r="B1" s="72">
        <v>5.9900000000000002E-2</v>
      </c>
    </row>
    <row r="2" spans="1:3" x14ac:dyDescent="0.2">
      <c r="A2" t="s">
        <v>86</v>
      </c>
      <c r="B2" s="72">
        <v>4.9000000000000002E-2</v>
      </c>
    </row>
    <row r="3" spans="1:3" x14ac:dyDescent="0.2">
      <c r="A3" s="77" t="s">
        <v>98</v>
      </c>
      <c r="B3" s="72">
        <v>5.2900000000000003E-2</v>
      </c>
    </row>
    <row r="4" spans="1:3" x14ac:dyDescent="0.2">
      <c r="A4" s="77" t="s">
        <v>97</v>
      </c>
      <c r="B4" s="72">
        <v>6.0400000000000002E-2</v>
      </c>
    </row>
    <row r="5" spans="1:3" x14ac:dyDescent="0.2">
      <c r="A5" t="s">
        <v>81</v>
      </c>
      <c r="B5" s="72">
        <v>6.0400000000000002E-2</v>
      </c>
    </row>
    <row r="6" spans="1:3" x14ac:dyDescent="0.2">
      <c r="A6" t="s">
        <v>79</v>
      </c>
      <c r="B6" s="72">
        <v>6.0400000000000002E-2</v>
      </c>
    </row>
    <row r="7" spans="1:3" x14ac:dyDescent="0.2">
      <c r="A7" t="s">
        <v>80</v>
      </c>
      <c r="B7" s="72">
        <v>6.54E-2</v>
      </c>
    </row>
    <row r="8" spans="1:3" x14ac:dyDescent="0.2">
      <c r="A8" t="s">
        <v>82</v>
      </c>
      <c r="B8" s="72">
        <v>8.3900000000000002E-2</v>
      </c>
    </row>
    <row r="9" spans="1:3" x14ac:dyDescent="0.2">
      <c r="A9" t="s">
        <v>83</v>
      </c>
      <c r="B9" s="72">
        <v>8.3900000000000002E-2</v>
      </c>
    </row>
    <row r="10" spans="1:3" x14ac:dyDescent="0.2">
      <c r="A10" t="s">
        <v>84</v>
      </c>
      <c r="B10" s="72">
        <v>6.7900000000000002E-2</v>
      </c>
      <c r="C10" t="s">
        <v>92</v>
      </c>
    </row>
    <row r="11" spans="1:3" x14ac:dyDescent="0.2">
      <c r="A11" t="s">
        <v>85</v>
      </c>
      <c r="B11" s="72">
        <v>6.0400000000000002E-2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29BC-8743-41BE-90A0-8954226E8BC3}">
  <sheetPr codeName="Sheet4"/>
  <dimension ref="B1:H37"/>
  <sheetViews>
    <sheetView workbookViewId="0">
      <selection activeCell="D5" sqref="D5"/>
    </sheetView>
  </sheetViews>
  <sheetFormatPr defaultColWidth="9.140625" defaultRowHeight="12.75" x14ac:dyDescent="0.2"/>
  <cols>
    <col min="1" max="1" width="1.5703125" style="2" customWidth="1"/>
    <col min="2" max="2" width="2.85546875" style="2" customWidth="1"/>
    <col min="3" max="3" width="27.5703125" style="2" customWidth="1"/>
    <col min="4" max="4" width="15.42578125" style="11" bestFit="1" customWidth="1"/>
    <col min="5" max="5" width="9.140625" style="2" hidden="1" customWidth="1"/>
    <col min="6" max="6" width="12.42578125" style="2" bestFit="1" customWidth="1"/>
    <col min="7" max="7" width="2.5703125" style="2" customWidth="1"/>
    <col min="8" max="8" width="4.85546875" style="2" customWidth="1"/>
    <col min="9" max="16384" width="9.140625" style="2"/>
  </cols>
  <sheetData>
    <row r="1" spans="2:7" ht="13.5" thickBot="1" x14ac:dyDescent="0.25"/>
    <row r="2" spans="2:7" ht="13.5" thickBot="1" x14ac:dyDescent="0.25">
      <c r="B2" s="3"/>
      <c r="C2" s="4"/>
      <c r="D2" s="30"/>
      <c r="E2" s="4"/>
      <c r="F2" s="4"/>
      <c r="G2" s="5"/>
    </row>
    <row r="3" spans="2:7" x14ac:dyDescent="0.2">
      <c r="B3" s="7"/>
      <c r="C3" s="1" t="s">
        <v>16</v>
      </c>
      <c r="D3" s="21">
        <f>'Affordability Calculator'!C6</f>
        <v>0</v>
      </c>
      <c r="E3" s="1"/>
      <c r="F3" s="1"/>
      <c r="G3" s="6"/>
    </row>
    <row r="4" spans="2:7" x14ac:dyDescent="0.2">
      <c r="B4" s="7"/>
      <c r="C4" s="31" t="s">
        <v>21</v>
      </c>
      <c r="D4" s="22">
        <f>'Affordability Calculator'!F6</f>
        <v>25</v>
      </c>
      <c r="E4" s="1">
        <f>SUM(D4*12)</f>
        <v>300</v>
      </c>
      <c r="F4" s="1"/>
      <c r="G4" s="6"/>
    </row>
    <row r="5" spans="2:7" ht="13.5" thickBot="1" x14ac:dyDescent="0.25">
      <c r="B5" s="7"/>
      <c r="C5" s="31" t="s">
        <v>22</v>
      </c>
      <c r="D5" s="23">
        <f>('Affordability Calculator'!E10*100)+1.75</f>
        <v>6.65</v>
      </c>
      <c r="E5" s="45">
        <f>D5/100</f>
        <v>6.6500000000000004E-2</v>
      </c>
      <c r="F5" s="1"/>
      <c r="G5" s="6"/>
    </row>
    <row r="6" spans="2:7" x14ac:dyDescent="0.2">
      <c r="B6" s="7"/>
      <c r="C6" s="1"/>
      <c r="D6" s="37"/>
      <c r="E6" s="1"/>
      <c r="F6" s="1"/>
      <c r="G6" s="6"/>
    </row>
    <row r="7" spans="2:7" x14ac:dyDescent="0.2">
      <c r="B7" s="7"/>
      <c r="C7" s="1" t="s">
        <v>15</v>
      </c>
      <c r="D7" s="24">
        <f>'Affordability Calculator'!C54</f>
        <v>0</v>
      </c>
      <c r="E7" s="1"/>
      <c r="F7" s="1"/>
      <c r="G7" s="6"/>
    </row>
    <row r="8" spans="2:7" x14ac:dyDescent="0.2">
      <c r="B8" s="7"/>
      <c r="C8" s="1" t="s">
        <v>14</v>
      </c>
      <c r="D8" s="24">
        <f>'Affordability Calculator'!C52</f>
        <v>0</v>
      </c>
      <c r="E8" s="1"/>
      <c r="F8" s="1"/>
      <c r="G8" s="6"/>
    </row>
    <row r="9" spans="2:7" x14ac:dyDescent="0.2">
      <c r="B9" s="7"/>
      <c r="C9" s="1" t="s">
        <v>13</v>
      </c>
      <c r="D9" s="25">
        <f>SUM(D7-D8)</f>
        <v>0</v>
      </c>
      <c r="E9" s="1"/>
      <c r="F9" s="1"/>
      <c r="G9" s="6"/>
    </row>
    <row r="10" spans="2:7" x14ac:dyDescent="0.2">
      <c r="B10" s="7"/>
      <c r="C10" s="1"/>
      <c r="D10" s="43"/>
      <c r="E10" s="1"/>
      <c r="F10" s="1"/>
      <c r="G10" s="6"/>
    </row>
    <row r="11" spans="2:7" x14ac:dyDescent="0.2">
      <c r="B11" s="7"/>
      <c r="C11" s="1" t="s">
        <v>12</v>
      </c>
      <c r="D11" s="25">
        <f>SUM(D9*0.90909)</f>
        <v>0</v>
      </c>
      <c r="E11" s="1"/>
      <c r="F11" s="1"/>
      <c r="G11" s="6"/>
    </row>
    <row r="12" spans="2:7" x14ac:dyDescent="0.2">
      <c r="B12" s="7"/>
      <c r="C12" s="1"/>
      <c r="D12" s="44"/>
      <c r="E12" s="1"/>
      <c r="F12" s="1"/>
      <c r="G12" s="6"/>
    </row>
    <row r="13" spans="2:7" x14ac:dyDescent="0.2">
      <c r="B13" s="7"/>
      <c r="C13" s="1"/>
      <c r="D13" s="44"/>
      <c r="E13" s="1"/>
      <c r="F13" s="1"/>
      <c r="G13" s="6"/>
    </row>
    <row r="14" spans="2:7" x14ac:dyDescent="0.2">
      <c r="B14" s="7"/>
      <c r="C14" s="31" t="s">
        <v>24</v>
      </c>
      <c r="D14" s="25">
        <f>Amortisation!E6</f>
        <v>0</v>
      </c>
      <c r="E14" s="1"/>
      <c r="F14" s="1"/>
      <c r="G14" s="6"/>
    </row>
    <row r="15" spans="2:7" x14ac:dyDescent="0.2">
      <c r="B15" s="7"/>
      <c r="C15" s="31" t="s">
        <v>25</v>
      </c>
      <c r="D15" s="25">
        <f>Amortisation!F6</f>
        <v>0</v>
      </c>
      <c r="E15" s="1"/>
      <c r="F15" s="1"/>
      <c r="G15" s="6"/>
    </row>
    <row r="16" spans="2:7" x14ac:dyDescent="0.2">
      <c r="B16" s="7"/>
      <c r="C16" s="1"/>
      <c r="D16" s="37"/>
      <c r="E16" s="1"/>
      <c r="F16" s="1"/>
      <c r="G16" s="6"/>
    </row>
    <row r="17" spans="2:8" x14ac:dyDescent="0.2">
      <c r="B17" s="7"/>
      <c r="C17" s="1" t="s">
        <v>11</v>
      </c>
      <c r="D17" s="46" t="e">
        <f>SUM(D11/D14)*100</f>
        <v>#DIV/0!</v>
      </c>
      <c r="E17" s="27"/>
      <c r="F17" s="28" t="e">
        <f>IF(D17&gt;=99.999999,"Pass","Fail")</f>
        <v>#DIV/0!</v>
      </c>
      <c r="G17" s="32"/>
      <c r="H17" s="29"/>
    </row>
    <row r="18" spans="2:8" x14ac:dyDescent="0.2">
      <c r="B18" s="7"/>
      <c r="C18" s="1" t="s">
        <v>10</v>
      </c>
      <c r="D18" s="46" t="e">
        <f>SUM(D11/D15)*100</f>
        <v>#DIV/0!</v>
      </c>
      <c r="E18" s="27"/>
      <c r="F18" s="28" t="e">
        <f>IF(D18&gt;=99.999999,"Pass","Fail")</f>
        <v>#DIV/0!</v>
      </c>
      <c r="G18" s="32"/>
      <c r="H18" s="29"/>
    </row>
    <row r="19" spans="2:8" x14ac:dyDescent="0.2">
      <c r="B19" s="7"/>
      <c r="C19" s="1"/>
      <c r="G19" s="6"/>
    </row>
    <row r="20" spans="2:8" hidden="1" x14ac:dyDescent="0.2">
      <c r="B20" s="7"/>
      <c r="C20" s="13" t="s">
        <v>26</v>
      </c>
      <c r="D20" s="33" t="e">
        <f>SUM(D3*D17)/100</f>
        <v>#DIV/0!</v>
      </c>
      <c r="E20" s="2">
        <v>2</v>
      </c>
      <c r="F20" s="34" t="e">
        <f>ROUNDDOWN(D20,E20)</f>
        <v>#DIV/0!</v>
      </c>
      <c r="G20" s="35"/>
      <c r="H20" s="34"/>
    </row>
    <row r="21" spans="2:8" hidden="1" x14ac:dyDescent="0.2">
      <c r="B21" s="7"/>
      <c r="C21" s="1"/>
      <c r="D21" s="33"/>
      <c r="F21" s="34"/>
      <c r="G21" s="35"/>
      <c r="H21" s="34"/>
    </row>
    <row r="22" spans="2:8" hidden="1" x14ac:dyDescent="0.2">
      <c r="B22" s="7"/>
      <c r="C22" s="13" t="s">
        <v>23</v>
      </c>
      <c r="D22" s="33" t="e">
        <f>SUM(D3*D18)/100</f>
        <v>#DIV/0!</v>
      </c>
      <c r="E22" s="2">
        <v>2</v>
      </c>
      <c r="F22" s="34" t="e">
        <f>ROUNDDOWN(D22,E22)</f>
        <v>#DIV/0!</v>
      </c>
      <c r="G22" s="35"/>
      <c r="H22" s="34"/>
    </row>
    <row r="23" spans="2:8" hidden="1" x14ac:dyDescent="0.2">
      <c r="B23" s="7"/>
      <c r="G23" s="6"/>
    </row>
    <row r="24" spans="2:8" hidden="1" x14ac:dyDescent="0.2">
      <c r="B24" s="7"/>
      <c r="G24" s="6"/>
    </row>
    <row r="25" spans="2:8" ht="13.5" thickBot="1" x14ac:dyDescent="0.25">
      <c r="B25" s="7"/>
      <c r="G25" s="6"/>
    </row>
    <row r="26" spans="2:8" ht="13.5" thickBot="1" x14ac:dyDescent="0.25">
      <c r="B26" s="7"/>
      <c r="C26" s="38" t="s">
        <v>27</v>
      </c>
      <c r="D26" s="39" t="e">
        <f>ROUNDDOWN(D20,E20)</f>
        <v>#DIV/0!</v>
      </c>
      <c r="E26" s="33"/>
      <c r="G26" s="6"/>
    </row>
    <row r="27" spans="2:8" ht="13.5" thickBot="1" x14ac:dyDescent="0.25">
      <c r="B27" s="7"/>
      <c r="C27" s="1"/>
      <c r="D27" s="1"/>
      <c r="E27" s="33"/>
      <c r="G27" s="6"/>
    </row>
    <row r="28" spans="2:8" ht="13.5" thickBot="1" x14ac:dyDescent="0.25">
      <c r="B28" s="7"/>
      <c r="C28" s="38" t="s">
        <v>28</v>
      </c>
      <c r="D28" s="39" t="e">
        <f>ROUNDDOWN(D22,E22)</f>
        <v>#DIV/0!</v>
      </c>
      <c r="E28" s="33"/>
      <c r="G28" s="6"/>
    </row>
    <row r="29" spans="2:8" ht="13.5" thickBot="1" x14ac:dyDescent="0.25">
      <c r="B29" s="8"/>
      <c r="C29" s="9"/>
      <c r="D29" s="36"/>
      <c r="E29" s="9"/>
      <c r="F29" s="9"/>
      <c r="G29" s="10"/>
    </row>
    <row r="34" spans="3:6" x14ac:dyDescent="0.2">
      <c r="C34" s="70" t="e">
        <f>MAX(0,D26)</f>
        <v>#DIV/0!</v>
      </c>
      <c r="D34" s="11" t="s">
        <v>75</v>
      </c>
    </row>
    <row r="36" spans="3:6" x14ac:dyDescent="0.2">
      <c r="F36" s="2" t="s">
        <v>29</v>
      </c>
    </row>
    <row r="37" spans="3:6" x14ac:dyDescent="0.2">
      <c r="C37" s="70" t="e">
        <f>MAX(0,D28)</f>
        <v>#DIV/0!</v>
      </c>
      <c r="D37" s="11" t="s">
        <v>76</v>
      </c>
    </row>
  </sheetData>
  <sheetProtection sheet="1"/>
  <conditionalFormatting sqref="D17:D18">
    <cfRule type="cellIs" dxfId="4" priority="32" stopIfTrue="1" operator="lessThan">
      <formula>100</formula>
    </cfRule>
    <cfRule type="cellIs" dxfId="3" priority="33" stopIfTrue="1" operator="greaterThanOrEqual">
      <formula>100</formula>
    </cfRule>
  </conditionalFormatting>
  <conditionalFormatting sqref="E17">
    <cfRule type="expression" dxfId="2" priority="40" stopIfTrue="1">
      <formula>"IF$B$15&gt;100=""Pass"""</formula>
    </cfRule>
  </conditionalFormatting>
  <conditionalFormatting sqref="F17:H18">
    <cfRule type="cellIs" dxfId="1" priority="10" stopIfTrue="1" operator="equal">
      <formula>"Fail"</formula>
    </cfRule>
    <cfRule type="cellIs" dxfId="0" priority="11" stopIfTrue="1" operator="equal">
      <formula>"Pass"</formula>
    </cfRule>
  </conditionalFormatting>
  <pageMargins left="0.7" right="0.7" top="0.75" bottom="0.75" header="0.3" footer="0.3"/>
  <pageSetup paperSize="9" orientation="portrait" r:id="rId1"/>
  <ignoredErrors>
    <ignoredError sqref="D14:F16 E18 E17" evalError="1"/>
    <ignoredError sqref="F17:F18 E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8EA0-CAC5-4CA8-B5DD-8914E8DC3BD5}">
  <sheetPr codeName="Sheet5"/>
  <dimension ref="A3:P17"/>
  <sheetViews>
    <sheetView workbookViewId="0">
      <selection activeCell="L2" sqref="L2"/>
    </sheetView>
  </sheetViews>
  <sheetFormatPr defaultColWidth="9.140625" defaultRowHeight="12.75" x14ac:dyDescent="0.2"/>
  <cols>
    <col min="1" max="1" width="6.42578125" style="1" customWidth="1"/>
    <col min="2" max="2" width="0" style="1" hidden="1" customWidth="1"/>
    <col min="3" max="3" width="10.42578125" style="1" hidden="1" customWidth="1"/>
    <col min="4" max="4" width="0" style="1" hidden="1" customWidth="1"/>
    <col min="5" max="5" width="10.85546875" style="1" customWidth="1"/>
    <col min="6" max="6" width="11.42578125" style="1" customWidth="1"/>
    <col min="7" max="7" width="9.140625" style="1"/>
    <col min="8" max="8" width="12.42578125" style="1" bestFit="1" customWidth="1"/>
    <col min="9" max="11" width="9.140625" style="1"/>
    <col min="12" max="12" width="9.5703125" style="1" bestFit="1" customWidth="1"/>
    <col min="13" max="13" width="13.140625" style="1" customWidth="1"/>
    <col min="14" max="16384" width="9.140625" style="1"/>
  </cols>
  <sheetData>
    <row r="3" spans="1:16" x14ac:dyDescent="0.2">
      <c r="A3" s="12"/>
      <c r="B3" s="12" t="s">
        <v>0</v>
      </c>
      <c r="C3" s="12" t="s">
        <v>1</v>
      </c>
      <c r="D3" s="12" t="s">
        <v>2</v>
      </c>
      <c r="E3" s="12" t="s">
        <v>0</v>
      </c>
      <c r="F3" s="12" t="s">
        <v>3</v>
      </c>
      <c r="G3" s="12" t="s">
        <v>4</v>
      </c>
      <c r="H3" s="12" t="s">
        <v>5</v>
      </c>
      <c r="J3" s="13" t="s">
        <v>6</v>
      </c>
      <c r="K3" s="14">
        <f>'Affordability Assessment'!D5</f>
        <v>6.65</v>
      </c>
      <c r="M3" s="15" t="s">
        <v>9</v>
      </c>
      <c r="N3" s="16"/>
      <c r="O3" s="16"/>
    </row>
    <row r="4" spans="1:16" x14ac:dyDescent="0.2">
      <c r="J4" s="13" t="s">
        <v>7</v>
      </c>
      <c r="K4" s="1">
        <f>(K3/100)/12</f>
        <v>5.541666666666667E-3</v>
      </c>
    </row>
    <row r="5" spans="1:16" x14ac:dyDescent="0.2">
      <c r="H5" s="17">
        <f>'Affordability Assessment'!D3</f>
        <v>0</v>
      </c>
      <c r="J5" s="13" t="s">
        <v>8</v>
      </c>
      <c r="K5" s="18">
        <f>N13</f>
        <v>300</v>
      </c>
      <c r="M5" s="15" t="s">
        <v>18</v>
      </c>
      <c r="N5" s="15"/>
      <c r="O5" s="15"/>
      <c r="P5" s="13"/>
    </row>
    <row r="6" spans="1:16" x14ac:dyDescent="0.2">
      <c r="A6" s="1">
        <v>1</v>
      </c>
      <c r="B6" s="19">
        <f t="shared" ref="B6:B17" si="0">E6</f>
        <v>0</v>
      </c>
      <c r="C6" s="19">
        <f t="shared" ref="C6:C17" si="1">F6/12</f>
        <v>0</v>
      </c>
      <c r="D6" s="19">
        <f t="shared" ref="D6:D17" si="2">G6/12</f>
        <v>0</v>
      </c>
      <c r="E6" s="19">
        <f>H5*POWER(1+K4,K5)/(POWER(1+K4,K5)-1)*K4</f>
        <v>0</v>
      </c>
      <c r="F6" s="19">
        <f t="shared" ref="F6:F17" si="3">H5*$K$4</f>
        <v>0</v>
      </c>
      <c r="G6" s="19">
        <f t="shared" ref="G6:G17" si="4">E6-F6</f>
        <v>0</v>
      </c>
      <c r="H6" s="19">
        <f t="shared" ref="H6:H17" si="5">H5-G6</f>
        <v>0</v>
      </c>
      <c r="M6" s="13"/>
      <c r="N6" s="13"/>
      <c r="O6" s="13"/>
      <c r="P6" s="13"/>
    </row>
    <row r="7" spans="1:16" x14ac:dyDescent="0.2">
      <c r="A7" s="1">
        <v>2</v>
      </c>
      <c r="B7" s="19">
        <f t="shared" si="0"/>
        <v>0</v>
      </c>
      <c r="C7" s="19">
        <f t="shared" si="1"/>
        <v>0</v>
      </c>
      <c r="D7" s="19">
        <f t="shared" si="2"/>
        <v>0</v>
      </c>
      <c r="E7" s="19">
        <f t="shared" ref="E7:E17" si="6">E6</f>
        <v>0</v>
      </c>
      <c r="F7" s="19">
        <f t="shared" si="3"/>
        <v>0</v>
      </c>
      <c r="G7" s="19">
        <f t="shared" si="4"/>
        <v>0</v>
      </c>
      <c r="H7" s="19">
        <f t="shared" si="5"/>
        <v>0</v>
      </c>
      <c r="M7" s="15" t="s">
        <v>17</v>
      </c>
      <c r="N7" s="15"/>
      <c r="O7" s="15"/>
      <c r="P7" s="15"/>
    </row>
    <row r="8" spans="1:16" x14ac:dyDescent="0.2">
      <c r="A8" s="1">
        <v>3</v>
      </c>
      <c r="B8" s="19">
        <f t="shared" si="0"/>
        <v>0</v>
      </c>
      <c r="C8" s="19">
        <f t="shared" si="1"/>
        <v>0</v>
      </c>
      <c r="D8" s="19">
        <f t="shared" si="2"/>
        <v>0</v>
      </c>
      <c r="E8" s="19">
        <f t="shared" si="6"/>
        <v>0</v>
      </c>
      <c r="F8" s="19">
        <f t="shared" si="3"/>
        <v>0</v>
      </c>
      <c r="G8" s="19">
        <f t="shared" si="4"/>
        <v>0</v>
      </c>
      <c r="H8" s="19">
        <f t="shared" si="5"/>
        <v>0</v>
      </c>
    </row>
    <row r="9" spans="1:16" x14ac:dyDescent="0.2">
      <c r="A9" s="1">
        <v>4</v>
      </c>
      <c r="B9" s="19">
        <f t="shared" si="0"/>
        <v>0</v>
      </c>
      <c r="C9" s="19">
        <f t="shared" si="1"/>
        <v>0</v>
      </c>
      <c r="D9" s="19">
        <f t="shared" si="2"/>
        <v>0</v>
      </c>
      <c r="E9" s="19">
        <f t="shared" si="6"/>
        <v>0</v>
      </c>
      <c r="F9" s="19">
        <f t="shared" si="3"/>
        <v>0</v>
      </c>
      <c r="G9" s="19">
        <f t="shared" si="4"/>
        <v>0</v>
      </c>
      <c r="H9" s="19">
        <f t="shared" si="5"/>
        <v>0</v>
      </c>
    </row>
    <row r="10" spans="1:16" x14ac:dyDescent="0.2">
      <c r="A10" s="1">
        <v>5</v>
      </c>
      <c r="B10" s="19">
        <f t="shared" si="0"/>
        <v>0</v>
      </c>
      <c r="C10" s="19">
        <f t="shared" si="1"/>
        <v>0</v>
      </c>
      <c r="D10" s="19">
        <f t="shared" si="2"/>
        <v>0</v>
      </c>
      <c r="E10" s="19">
        <f t="shared" si="6"/>
        <v>0</v>
      </c>
      <c r="F10" s="19">
        <f t="shared" si="3"/>
        <v>0</v>
      </c>
      <c r="G10" s="19">
        <f t="shared" si="4"/>
        <v>0</v>
      </c>
      <c r="H10" s="19">
        <f t="shared" si="5"/>
        <v>0</v>
      </c>
    </row>
    <row r="11" spans="1:16" x14ac:dyDescent="0.2">
      <c r="A11" s="1">
        <v>6</v>
      </c>
      <c r="B11" s="19">
        <f t="shared" si="0"/>
        <v>0</v>
      </c>
      <c r="C11" s="19">
        <f t="shared" si="1"/>
        <v>0</v>
      </c>
      <c r="D11" s="19">
        <f t="shared" si="2"/>
        <v>0</v>
      </c>
      <c r="E11" s="19">
        <f t="shared" si="6"/>
        <v>0</v>
      </c>
      <c r="F11" s="19">
        <f t="shared" si="3"/>
        <v>0</v>
      </c>
      <c r="G11" s="19">
        <f t="shared" si="4"/>
        <v>0</v>
      </c>
      <c r="H11" s="19">
        <f t="shared" si="5"/>
        <v>0</v>
      </c>
      <c r="M11" s="13" t="s">
        <v>19</v>
      </c>
      <c r="N11" s="20">
        <f>'Affordability Assessment'!D4</f>
        <v>25</v>
      </c>
    </row>
    <row r="12" spans="1:16" x14ac:dyDescent="0.2">
      <c r="A12" s="1">
        <v>7</v>
      </c>
      <c r="B12" s="19">
        <f t="shared" si="0"/>
        <v>0</v>
      </c>
      <c r="C12" s="19">
        <f t="shared" si="1"/>
        <v>0</v>
      </c>
      <c r="D12" s="19">
        <f t="shared" si="2"/>
        <v>0</v>
      </c>
      <c r="E12" s="19">
        <f t="shared" si="6"/>
        <v>0</v>
      </c>
      <c r="F12" s="19">
        <f t="shared" si="3"/>
        <v>0</v>
      </c>
      <c r="G12" s="19">
        <f t="shared" si="4"/>
        <v>0</v>
      </c>
      <c r="H12" s="14">
        <f t="shared" si="5"/>
        <v>0</v>
      </c>
    </row>
    <row r="13" spans="1:16" x14ac:dyDescent="0.2">
      <c r="A13" s="1">
        <v>8</v>
      </c>
      <c r="B13" s="19">
        <f t="shared" si="0"/>
        <v>0</v>
      </c>
      <c r="C13" s="19">
        <f t="shared" si="1"/>
        <v>0</v>
      </c>
      <c r="D13" s="19">
        <f t="shared" si="2"/>
        <v>0</v>
      </c>
      <c r="E13" s="19">
        <f t="shared" si="6"/>
        <v>0</v>
      </c>
      <c r="F13" s="19">
        <f t="shared" si="3"/>
        <v>0</v>
      </c>
      <c r="G13" s="19">
        <f t="shared" si="4"/>
        <v>0</v>
      </c>
      <c r="H13" s="19">
        <f t="shared" si="5"/>
        <v>0</v>
      </c>
      <c r="M13" s="13" t="s">
        <v>20</v>
      </c>
      <c r="N13" s="13">
        <f>SUM(N11*12)</f>
        <v>300</v>
      </c>
    </row>
    <row r="14" spans="1:16" x14ac:dyDescent="0.2">
      <c r="A14" s="1">
        <v>9</v>
      </c>
      <c r="B14" s="19">
        <f t="shared" si="0"/>
        <v>0</v>
      </c>
      <c r="C14" s="19">
        <f t="shared" si="1"/>
        <v>0</v>
      </c>
      <c r="D14" s="19">
        <f t="shared" si="2"/>
        <v>0</v>
      </c>
      <c r="E14" s="19">
        <f t="shared" si="6"/>
        <v>0</v>
      </c>
      <c r="F14" s="19">
        <f t="shared" si="3"/>
        <v>0</v>
      </c>
      <c r="G14" s="19">
        <f t="shared" si="4"/>
        <v>0</v>
      </c>
      <c r="H14" s="19">
        <f t="shared" si="5"/>
        <v>0</v>
      </c>
    </row>
    <row r="15" spans="1:16" x14ac:dyDescent="0.2">
      <c r="A15" s="1">
        <v>10</v>
      </c>
      <c r="B15" s="19">
        <f t="shared" si="0"/>
        <v>0</v>
      </c>
      <c r="C15" s="19">
        <f t="shared" si="1"/>
        <v>0</v>
      </c>
      <c r="D15" s="19">
        <f t="shared" si="2"/>
        <v>0</v>
      </c>
      <c r="E15" s="19">
        <f t="shared" si="6"/>
        <v>0</v>
      </c>
      <c r="F15" s="19">
        <f t="shared" si="3"/>
        <v>0</v>
      </c>
      <c r="G15" s="19">
        <f t="shared" si="4"/>
        <v>0</v>
      </c>
      <c r="H15" s="19">
        <f t="shared" si="5"/>
        <v>0</v>
      </c>
    </row>
    <row r="16" spans="1:16" x14ac:dyDescent="0.2">
      <c r="A16" s="1">
        <v>11</v>
      </c>
      <c r="B16" s="19">
        <f t="shared" si="0"/>
        <v>0</v>
      </c>
      <c r="C16" s="19">
        <f t="shared" si="1"/>
        <v>0</v>
      </c>
      <c r="D16" s="19">
        <f t="shared" si="2"/>
        <v>0</v>
      </c>
      <c r="E16" s="19">
        <f t="shared" si="6"/>
        <v>0</v>
      </c>
      <c r="F16" s="19">
        <f t="shared" si="3"/>
        <v>0</v>
      </c>
      <c r="G16" s="19">
        <f t="shared" si="4"/>
        <v>0</v>
      </c>
      <c r="H16" s="19">
        <f t="shared" si="5"/>
        <v>0</v>
      </c>
    </row>
    <row r="17" spans="1:8" x14ac:dyDescent="0.2">
      <c r="A17" s="1">
        <v>12</v>
      </c>
      <c r="B17" s="19">
        <f t="shared" si="0"/>
        <v>0</v>
      </c>
      <c r="C17" s="19">
        <f t="shared" si="1"/>
        <v>0</v>
      </c>
      <c r="D17" s="19">
        <f t="shared" si="2"/>
        <v>0</v>
      </c>
      <c r="E17" s="19">
        <f t="shared" si="6"/>
        <v>0</v>
      </c>
      <c r="F17" s="19">
        <f t="shared" si="3"/>
        <v>0</v>
      </c>
      <c r="G17" s="19">
        <f t="shared" si="4"/>
        <v>0</v>
      </c>
      <c r="H17" s="19">
        <f t="shared" si="5"/>
        <v>0</v>
      </c>
    </row>
  </sheetData>
  <sheetProtection sheet="1"/>
  <phoneticPr fontId="0" type="noConversion"/>
  <pageMargins left="0" right="0"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EBB8-A6A1-4075-8012-C7F671BC4758}">
  <sheetPr codeName="Sheet6"/>
  <dimension ref="A3:P19"/>
  <sheetViews>
    <sheetView workbookViewId="0">
      <selection activeCell="K21" sqref="K21"/>
    </sheetView>
  </sheetViews>
  <sheetFormatPr defaultColWidth="9.140625" defaultRowHeight="12.75" x14ac:dyDescent="0.2"/>
  <cols>
    <col min="1" max="1" width="6.42578125" style="1" customWidth="1"/>
    <col min="2" max="2" width="0" style="1" hidden="1" customWidth="1"/>
    <col min="3" max="3" width="10.42578125" style="1" hidden="1" customWidth="1"/>
    <col min="4" max="4" width="0" style="1" hidden="1" customWidth="1"/>
    <col min="5" max="5" width="10.85546875" style="1" customWidth="1"/>
    <col min="6" max="6" width="11.42578125" style="1" customWidth="1"/>
    <col min="7" max="7" width="9.140625" style="1"/>
    <col min="8" max="8" width="12.42578125" style="1" bestFit="1" customWidth="1"/>
    <col min="9" max="11" width="9.140625" style="1"/>
    <col min="12" max="12" width="9.5703125" style="1" bestFit="1" customWidth="1"/>
    <col min="13" max="13" width="13.140625" style="1" customWidth="1"/>
    <col min="14" max="16384" width="9.140625" style="1"/>
  </cols>
  <sheetData>
    <row r="3" spans="1:14" x14ac:dyDescent="0.2">
      <c r="A3" s="12"/>
      <c r="B3" s="12" t="s">
        <v>0</v>
      </c>
      <c r="C3" s="12" t="s">
        <v>1</v>
      </c>
      <c r="D3" s="12" t="s">
        <v>2</v>
      </c>
      <c r="E3" s="12" t="s">
        <v>0</v>
      </c>
      <c r="F3" s="12" t="s">
        <v>3</v>
      </c>
      <c r="G3" s="12" t="s">
        <v>4</v>
      </c>
      <c r="H3" s="12" t="s">
        <v>5</v>
      </c>
      <c r="J3" s="13" t="s">
        <v>6</v>
      </c>
      <c r="K3" s="47">
        <f>N13</f>
        <v>4.9000000000000004</v>
      </c>
    </row>
    <row r="4" spans="1:14" x14ac:dyDescent="0.2">
      <c r="J4" s="13" t="s">
        <v>7</v>
      </c>
      <c r="K4" s="1">
        <f>(K3/100)/12</f>
        <v>4.0833333333333338E-3</v>
      </c>
    </row>
    <row r="5" spans="1:14" x14ac:dyDescent="0.2">
      <c r="H5" s="17">
        <f>'Affordability Calculator'!C6</f>
        <v>0</v>
      </c>
      <c r="J5" s="13" t="s">
        <v>8</v>
      </c>
      <c r="K5" s="26">
        <f>N8</f>
        <v>300</v>
      </c>
    </row>
    <row r="6" spans="1:14" x14ac:dyDescent="0.2">
      <c r="A6" s="1">
        <v>1</v>
      </c>
      <c r="B6" s="19">
        <f t="shared" ref="B6:B17" si="0">E6</f>
        <v>0</v>
      </c>
      <c r="C6" s="19">
        <f t="shared" ref="C6:D17" si="1">F6/12</f>
        <v>0</v>
      </c>
      <c r="D6" s="19">
        <f t="shared" si="1"/>
        <v>0</v>
      </c>
      <c r="E6" s="19">
        <f>H5*POWER(1+K4,K5)/(POWER(1+K4,K5)-1)*K4</f>
        <v>0</v>
      </c>
      <c r="F6" s="19">
        <f t="shared" ref="F6:F17" si="2">H5*$K$4</f>
        <v>0</v>
      </c>
      <c r="G6" s="19">
        <f t="shared" ref="G6:G17" si="3">E6-F6</f>
        <v>0</v>
      </c>
      <c r="H6" s="19">
        <f t="shared" ref="H6:H17" si="4">H5-G6</f>
        <v>0</v>
      </c>
      <c r="M6" s="13" t="s">
        <v>19</v>
      </c>
      <c r="N6" s="20">
        <f>'Affordability Calculator'!F6</f>
        <v>25</v>
      </c>
    </row>
    <row r="7" spans="1:14" x14ac:dyDescent="0.2">
      <c r="A7" s="1">
        <v>2</v>
      </c>
      <c r="B7" s="19">
        <f t="shared" si="0"/>
        <v>0</v>
      </c>
      <c r="C7" s="19">
        <f t="shared" si="1"/>
        <v>0</v>
      </c>
      <c r="D7" s="19">
        <f t="shared" si="1"/>
        <v>0</v>
      </c>
      <c r="E7" s="19">
        <f t="shared" ref="E7:E17" si="5">E6</f>
        <v>0</v>
      </c>
      <c r="F7" s="19">
        <f t="shared" si="2"/>
        <v>0</v>
      </c>
      <c r="G7" s="19">
        <f t="shared" si="3"/>
        <v>0</v>
      </c>
      <c r="H7" s="19">
        <f t="shared" si="4"/>
        <v>0</v>
      </c>
    </row>
    <row r="8" spans="1:14" x14ac:dyDescent="0.2">
      <c r="A8" s="1">
        <v>3</v>
      </c>
      <c r="B8" s="19">
        <f t="shared" si="0"/>
        <v>0</v>
      </c>
      <c r="C8" s="19">
        <f t="shared" si="1"/>
        <v>0</v>
      </c>
      <c r="D8" s="19">
        <f t="shared" si="1"/>
        <v>0</v>
      </c>
      <c r="E8" s="19">
        <f t="shared" si="5"/>
        <v>0</v>
      </c>
      <c r="F8" s="19">
        <f t="shared" si="2"/>
        <v>0</v>
      </c>
      <c r="G8" s="19">
        <f t="shared" si="3"/>
        <v>0</v>
      </c>
      <c r="H8" s="19">
        <f t="shared" si="4"/>
        <v>0</v>
      </c>
      <c r="M8" s="13" t="s">
        <v>20</v>
      </c>
      <c r="N8" s="42">
        <f>SUM(N6*12)</f>
        <v>300</v>
      </c>
    </row>
    <row r="9" spans="1:14" x14ac:dyDescent="0.2">
      <c r="A9" s="1">
        <v>4</v>
      </c>
      <c r="B9" s="19">
        <f t="shared" si="0"/>
        <v>0</v>
      </c>
      <c r="C9" s="19">
        <f t="shared" si="1"/>
        <v>0</v>
      </c>
      <c r="D9" s="19">
        <f t="shared" si="1"/>
        <v>0</v>
      </c>
      <c r="E9" s="19">
        <f t="shared" si="5"/>
        <v>0</v>
      </c>
      <c r="F9" s="19">
        <f t="shared" si="2"/>
        <v>0</v>
      </c>
      <c r="G9" s="19">
        <f t="shared" si="3"/>
        <v>0</v>
      </c>
      <c r="H9" s="19">
        <f t="shared" si="4"/>
        <v>0</v>
      </c>
    </row>
    <row r="10" spans="1:14" x14ac:dyDescent="0.2">
      <c r="A10" s="1">
        <v>5</v>
      </c>
      <c r="B10" s="19">
        <f t="shared" si="0"/>
        <v>0</v>
      </c>
      <c r="C10" s="19">
        <f t="shared" si="1"/>
        <v>0</v>
      </c>
      <c r="D10" s="19">
        <f t="shared" si="1"/>
        <v>0</v>
      </c>
      <c r="E10" s="19">
        <f t="shared" si="5"/>
        <v>0</v>
      </c>
      <c r="F10" s="19">
        <f t="shared" si="2"/>
        <v>0</v>
      </c>
      <c r="G10" s="19">
        <f t="shared" si="3"/>
        <v>0</v>
      </c>
      <c r="H10" s="19">
        <f t="shared" si="4"/>
        <v>0</v>
      </c>
    </row>
    <row r="11" spans="1:14" x14ac:dyDescent="0.2">
      <c r="A11" s="1">
        <v>6</v>
      </c>
      <c r="B11" s="19">
        <f t="shared" si="0"/>
        <v>0</v>
      </c>
      <c r="C11" s="19">
        <f t="shared" si="1"/>
        <v>0</v>
      </c>
      <c r="D11" s="19">
        <f t="shared" si="1"/>
        <v>0</v>
      </c>
      <c r="E11" s="19">
        <f t="shared" si="5"/>
        <v>0</v>
      </c>
      <c r="F11" s="19">
        <f t="shared" si="2"/>
        <v>0</v>
      </c>
      <c r="G11" s="19">
        <f t="shared" si="3"/>
        <v>0</v>
      </c>
      <c r="H11" s="19">
        <f t="shared" si="4"/>
        <v>0</v>
      </c>
      <c r="M11" s="31" t="s">
        <v>6</v>
      </c>
      <c r="N11" s="45">
        <f>'Affordability Calculator'!E10</f>
        <v>4.9000000000000002E-2</v>
      </c>
    </row>
    <row r="12" spans="1:14" x14ac:dyDescent="0.2">
      <c r="A12" s="1">
        <v>7</v>
      </c>
      <c r="B12" s="19">
        <f t="shared" si="0"/>
        <v>0</v>
      </c>
      <c r="C12" s="19">
        <f t="shared" si="1"/>
        <v>0</v>
      </c>
      <c r="D12" s="19">
        <f t="shared" si="1"/>
        <v>0</v>
      </c>
      <c r="E12" s="19">
        <f t="shared" si="5"/>
        <v>0</v>
      </c>
      <c r="F12" s="19">
        <f t="shared" si="2"/>
        <v>0</v>
      </c>
      <c r="G12" s="19">
        <f t="shared" si="3"/>
        <v>0</v>
      </c>
      <c r="H12" s="14">
        <f t="shared" si="4"/>
        <v>0</v>
      </c>
    </row>
    <row r="13" spans="1:14" x14ac:dyDescent="0.2">
      <c r="A13" s="1">
        <v>8</v>
      </c>
      <c r="B13" s="19">
        <f t="shared" si="0"/>
        <v>0</v>
      </c>
      <c r="C13" s="19">
        <f t="shared" si="1"/>
        <v>0</v>
      </c>
      <c r="D13" s="19">
        <f t="shared" si="1"/>
        <v>0</v>
      </c>
      <c r="E13" s="19">
        <f t="shared" si="5"/>
        <v>0</v>
      </c>
      <c r="F13" s="19">
        <f t="shared" si="2"/>
        <v>0</v>
      </c>
      <c r="G13" s="19">
        <f t="shared" si="3"/>
        <v>0</v>
      </c>
      <c r="H13" s="19">
        <f t="shared" si="4"/>
        <v>0</v>
      </c>
      <c r="M13" s="31" t="s">
        <v>6</v>
      </c>
      <c r="N13" s="1">
        <f>SUM(N11*100)</f>
        <v>4.9000000000000004</v>
      </c>
    </row>
    <row r="14" spans="1:14" x14ac:dyDescent="0.2">
      <c r="A14" s="1">
        <v>9</v>
      </c>
      <c r="B14" s="19">
        <f t="shared" si="0"/>
        <v>0</v>
      </c>
      <c r="C14" s="19">
        <f t="shared" si="1"/>
        <v>0</v>
      </c>
      <c r="D14" s="19">
        <f t="shared" si="1"/>
        <v>0</v>
      </c>
      <c r="E14" s="19">
        <f t="shared" si="5"/>
        <v>0</v>
      </c>
      <c r="F14" s="19">
        <f t="shared" si="2"/>
        <v>0</v>
      </c>
      <c r="G14" s="19">
        <f t="shared" si="3"/>
        <v>0</v>
      </c>
      <c r="H14" s="19">
        <f t="shared" si="4"/>
        <v>0</v>
      </c>
    </row>
    <row r="15" spans="1:14" x14ac:dyDescent="0.2">
      <c r="A15" s="1">
        <v>10</v>
      </c>
      <c r="B15" s="19">
        <f t="shared" si="0"/>
        <v>0</v>
      </c>
      <c r="C15" s="19">
        <f t="shared" si="1"/>
        <v>0</v>
      </c>
      <c r="D15" s="19">
        <f t="shared" si="1"/>
        <v>0</v>
      </c>
      <c r="E15" s="19">
        <f t="shared" si="5"/>
        <v>0</v>
      </c>
      <c r="F15" s="19">
        <f t="shared" si="2"/>
        <v>0</v>
      </c>
      <c r="G15" s="19">
        <f t="shared" si="3"/>
        <v>0</v>
      </c>
      <c r="H15" s="19">
        <f t="shared" si="4"/>
        <v>0</v>
      </c>
    </row>
    <row r="16" spans="1:14" x14ac:dyDescent="0.2">
      <c r="A16" s="1">
        <v>11</v>
      </c>
      <c r="B16" s="19">
        <f t="shared" si="0"/>
        <v>0</v>
      </c>
      <c r="C16" s="19">
        <f t="shared" si="1"/>
        <v>0</v>
      </c>
      <c r="D16" s="19">
        <f t="shared" si="1"/>
        <v>0</v>
      </c>
      <c r="E16" s="19">
        <f t="shared" si="5"/>
        <v>0</v>
      </c>
      <c r="F16" s="19">
        <f t="shared" si="2"/>
        <v>0</v>
      </c>
      <c r="G16" s="19">
        <f t="shared" si="3"/>
        <v>0</v>
      </c>
      <c r="H16" s="19">
        <f t="shared" si="4"/>
        <v>0</v>
      </c>
    </row>
    <row r="17" spans="1:16" x14ac:dyDescent="0.2">
      <c r="A17" s="1">
        <v>12</v>
      </c>
      <c r="B17" s="19">
        <f t="shared" si="0"/>
        <v>0</v>
      </c>
      <c r="C17" s="19">
        <f t="shared" si="1"/>
        <v>0</v>
      </c>
      <c r="D17" s="19">
        <f t="shared" si="1"/>
        <v>0</v>
      </c>
      <c r="E17" s="19">
        <f t="shared" si="5"/>
        <v>0</v>
      </c>
      <c r="F17" s="19">
        <f t="shared" si="2"/>
        <v>0</v>
      </c>
      <c r="G17" s="19">
        <f t="shared" si="3"/>
        <v>0</v>
      </c>
      <c r="H17" s="19">
        <f t="shared" si="4"/>
        <v>0</v>
      </c>
      <c r="M17" s="40"/>
      <c r="N17" s="41"/>
      <c r="O17" s="41"/>
      <c r="P17" s="41"/>
    </row>
    <row r="18" spans="1:16" x14ac:dyDescent="0.2">
      <c r="M18" s="41"/>
      <c r="N18" s="41"/>
      <c r="O18" s="41"/>
      <c r="P18" s="41"/>
    </row>
    <row r="19" spans="1:16" x14ac:dyDescent="0.2">
      <c r="M19" s="40"/>
      <c r="N19" s="40"/>
      <c r="O19" s="40"/>
      <c r="P19" s="41"/>
    </row>
  </sheetData>
  <sheetProtection sheet="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Affordability Calculator</vt:lpstr>
      <vt:lpstr>Version Control</vt:lpstr>
      <vt:lpstr>Lookups</vt:lpstr>
      <vt:lpstr>Affordability Assessment</vt:lpstr>
      <vt:lpstr>Amortisation</vt:lpstr>
      <vt:lpstr>Amortisation Repayment</vt:lpstr>
      <vt:lpstr>Amortisation!Print_Area</vt:lpstr>
      <vt:lpstr>'Amortisation Repayment'!Print_Area</vt:lpstr>
    </vt:vector>
  </TitlesOfParts>
  <Company>Mutual Vision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Feeney</dc:creator>
  <cp:lastModifiedBy>Olivia Kempsey</cp:lastModifiedBy>
  <cp:lastPrinted>2018-12-18T10:17:32Z</cp:lastPrinted>
  <dcterms:created xsi:type="dcterms:W3CDTF">2005-05-18T13:19:14Z</dcterms:created>
  <dcterms:modified xsi:type="dcterms:W3CDTF">2025-07-15T14:27:45Z</dcterms:modified>
</cp:coreProperties>
</file>