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K:\Product &amp; Distribution\Restricted\Product &amp; Distribution (central)\CMC Submissions\November front book re-pricing\"/>
    </mc:Choice>
  </mc:AlternateContent>
  <xr:revisionPtr revIDLastSave="0" documentId="13_ncr:1_{9111E13F-DE24-4850-806C-DB24CB427823}" xr6:coauthVersionLast="47" xr6:coauthVersionMax="47" xr10:uidLastSave="{00000000-0000-0000-0000-000000000000}"/>
  <bookViews>
    <workbookView xWindow="38295" yWindow="0" windowWidth="38610" windowHeight="20985" tabRatio="857" xr2:uid="{36CCA9D4-7803-4BA9-AB2B-7ED2914297FE}"/>
  </bookViews>
  <sheets>
    <sheet name="Affordability Calculator" sheetId="16" r:id="rId1"/>
    <sheet name="Affordability Assessment" sheetId="7" state="hidden" r:id="rId2"/>
    <sheet name="Model" sheetId="23" state="hidden" r:id="rId3"/>
    <sheet name="Lookups" sheetId="19" state="hidden" r:id="rId4"/>
    <sheet name="Version Control" sheetId="20" state="hidden" r:id="rId5"/>
    <sheet name="Amortisation" sheetId="3" state="hidden" r:id="rId6"/>
    <sheet name="Amortisation Repayment" sheetId="18" state="hidden" r:id="rId7"/>
  </sheets>
  <definedNames>
    <definedName name="Payment" localSheetId="5">Amortisation!#REF!</definedName>
    <definedName name="Payment" localSheetId="6">'Amortisation Repayment'!#REF!</definedName>
    <definedName name="Payment">#REF!</definedName>
    <definedName name="_xlnm.Print_Area" localSheetId="5">Amortisation!$A$1:$M$18</definedName>
    <definedName name="_xlnm.Print_Area" localSheetId="6">'Amortisation Repayment'!$A$1:$M$18</definedName>
    <definedName name="scaling_factor_adults" localSheetId="2">Model!$D$42</definedName>
    <definedName name="scaling_factor_children" localSheetId="2">Model!$D$43</definedName>
    <definedName name="scaling_factor_head" localSheetId="2">Model!$D$41</definedName>
    <definedName name="scaling_factor_total" localSheetId="2">Model!$D$46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6" l="1"/>
  <c r="D5" i="7" s="1"/>
  <c r="C20" i="16" l="1"/>
  <c r="I14" i="16" s="1"/>
  <c r="I15" i="16" s="1"/>
  <c r="C51" i="23"/>
  <c r="C50" i="23"/>
  <c r="C39" i="16"/>
  <c r="K21" i="23"/>
  <c r="D3" i="7" l="1"/>
  <c r="C43" i="16" l="1"/>
  <c r="D7" i="7" s="1"/>
  <c r="D45" i="23"/>
  <c r="D42" i="23"/>
  <c r="B21" i="23"/>
  <c r="B20" i="23"/>
  <c r="B19" i="23"/>
  <c r="D4" i="23"/>
  <c r="F14" i="23" s="1"/>
  <c r="C43" i="23"/>
  <c r="B43" i="23"/>
  <c r="B42" i="23"/>
  <c r="D41" i="23"/>
  <c r="B41" i="23"/>
  <c r="H32" i="23"/>
  <c r="F32" i="23"/>
  <c r="H31" i="23"/>
  <c r="F31" i="23"/>
  <c r="H30" i="23"/>
  <c r="F30" i="23"/>
  <c r="H29" i="23"/>
  <c r="F29" i="23"/>
  <c r="H28" i="23"/>
  <c r="F28" i="23"/>
  <c r="H27" i="23"/>
  <c r="F27" i="23"/>
  <c r="H26" i="23"/>
  <c r="H37" i="23" s="1"/>
  <c r="F26" i="23"/>
  <c r="B18" i="23"/>
  <c r="B17" i="23"/>
  <c r="B16" i="23"/>
  <c r="B15" i="23"/>
  <c r="B14" i="23"/>
  <c r="B13" i="23"/>
  <c r="B12" i="23"/>
  <c r="B11" i="23"/>
  <c r="B10" i="23"/>
  <c r="D3" i="23"/>
  <c r="N6" i="18"/>
  <c r="N8" i="18" s="1"/>
  <c r="K5" i="18" s="1"/>
  <c r="H5" i="18"/>
  <c r="D4" i="7"/>
  <c r="N11" i="3" s="1"/>
  <c r="N13" i="3" s="1"/>
  <c r="K5" i="3" s="1"/>
  <c r="H5" i="3"/>
  <c r="K3" i="3" l="1"/>
  <c r="K4" i="3" s="1"/>
  <c r="D43" i="23"/>
  <c r="F16" i="23"/>
  <c r="H4" i="23"/>
  <c r="F15" i="23"/>
  <c r="F10" i="23"/>
  <c r="F11" i="23"/>
  <c r="F17" i="23"/>
  <c r="F12" i="23"/>
  <c r="F18" i="23"/>
  <c r="F13" i="23"/>
  <c r="F19" i="23"/>
  <c r="F20" i="23"/>
  <c r="F21" i="23"/>
  <c r="F4" i="23"/>
  <c r="D44" i="23"/>
  <c r="E4" i="7"/>
  <c r="N11" i="18"/>
  <c r="N13" i="18" s="1"/>
  <c r="K3" i="18" s="1"/>
  <c r="K4" i="18" s="1"/>
  <c r="E6" i="18" s="1"/>
  <c r="E6" i="3" l="1"/>
  <c r="D14" i="7" s="1"/>
  <c r="F6" i="3"/>
  <c r="C6" i="3" s="1"/>
  <c r="E5" i="7"/>
  <c r="B6" i="18"/>
  <c r="I9" i="16"/>
  <c r="D46" i="23"/>
  <c r="G21" i="23" s="1"/>
  <c r="I21" i="23" s="1"/>
  <c r="H35" i="23" s="1"/>
  <c r="F22" i="23"/>
  <c r="F6" i="18"/>
  <c r="E7" i="18"/>
  <c r="B7" i="18" s="1"/>
  <c r="E7" i="3" l="1"/>
  <c r="B7" i="3" s="1"/>
  <c r="B6" i="3"/>
  <c r="G6" i="3"/>
  <c r="D6" i="3" s="1"/>
  <c r="D15" i="7"/>
  <c r="C6" i="18"/>
  <c r="G20" i="23"/>
  <c r="I20" i="23" s="1"/>
  <c r="G14" i="23"/>
  <c r="G11" i="23"/>
  <c r="I11" i="23" s="1"/>
  <c r="G15" i="23"/>
  <c r="H15" i="23" s="1"/>
  <c r="E15" i="23" s="1"/>
  <c r="G18" i="23"/>
  <c r="H18" i="23" s="1"/>
  <c r="E18" i="23" s="1"/>
  <c r="G17" i="23"/>
  <c r="I17" i="23" s="1"/>
  <c r="G12" i="23"/>
  <c r="I12" i="23" s="1"/>
  <c r="G13" i="23"/>
  <c r="I13" i="23" s="1"/>
  <c r="G16" i="23"/>
  <c r="I16" i="23" s="1"/>
  <c r="G10" i="23"/>
  <c r="G19" i="23"/>
  <c r="I19" i="23" s="1"/>
  <c r="H21" i="23"/>
  <c r="E21" i="23" s="1"/>
  <c r="G6" i="18"/>
  <c r="D6" i="18" s="1"/>
  <c r="I10" i="16"/>
  <c r="E8" i="18"/>
  <c r="B8" i="18" s="1"/>
  <c r="E8" i="3" l="1"/>
  <c r="E9" i="3" s="1"/>
  <c r="E10" i="3" s="1"/>
  <c r="G22" i="23"/>
  <c r="H6" i="3"/>
  <c r="F7" i="3" s="1"/>
  <c r="G7" i="3" s="1"/>
  <c r="I15" i="23"/>
  <c r="H11" i="23"/>
  <c r="E11" i="23" s="1"/>
  <c r="I18" i="23"/>
  <c r="H16" i="23"/>
  <c r="E16" i="23" s="1"/>
  <c r="H12" i="23"/>
  <c r="E12" i="23" s="1"/>
  <c r="H17" i="23"/>
  <c r="E17" i="23" s="1"/>
  <c r="H13" i="23"/>
  <c r="E13" i="23" s="1"/>
  <c r="H14" i="23"/>
  <c r="E14" i="23" s="1"/>
  <c r="H20" i="23"/>
  <c r="E20" i="23" s="1"/>
  <c r="I14" i="23"/>
  <c r="H19" i="23"/>
  <c r="E19" i="23" s="1"/>
  <c r="I10" i="23"/>
  <c r="H10" i="23"/>
  <c r="H6" i="18"/>
  <c r="F7" i="18" s="1"/>
  <c r="C7" i="18" s="1"/>
  <c r="E9" i="18"/>
  <c r="B9" i="18" s="1"/>
  <c r="B9" i="3" l="1"/>
  <c r="B8" i="3"/>
  <c r="C7" i="3"/>
  <c r="E10" i="23"/>
  <c r="E22" i="23" s="1"/>
  <c r="H22" i="23"/>
  <c r="I22" i="23"/>
  <c r="C37" i="16" s="1"/>
  <c r="C42" i="16" s="1"/>
  <c r="D8" i="7" s="1"/>
  <c r="H36" i="23"/>
  <c r="H34" i="23"/>
  <c r="G7" i="18"/>
  <c r="D7" i="18" s="1"/>
  <c r="E10" i="18"/>
  <c r="E11" i="18" s="1"/>
  <c r="D7" i="3"/>
  <c r="H7" i="3"/>
  <c r="E11" i="3"/>
  <c r="B10" i="3"/>
  <c r="H38" i="23" l="1"/>
  <c r="B10" i="18"/>
  <c r="H7" i="18"/>
  <c r="F8" i="18" s="1"/>
  <c r="E12" i="18"/>
  <c r="B11" i="18"/>
  <c r="E12" i="3"/>
  <c r="B11" i="3"/>
  <c r="F8" i="3"/>
  <c r="H39" i="23" l="1"/>
  <c r="E13" i="18"/>
  <c r="B12" i="18"/>
  <c r="E13" i="3"/>
  <c r="B12" i="3"/>
  <c r="C8" i="3"/>
  <c r="G8" i="3"/>
  <c r="C8" i="18"/>
  <c r="G8" i="18"/>
  <c r="D9" i="7" l="1"/>
  <c r="D8" i="18"/>
  <c r="H8" i="18"/>
  <c r="D8" i="3"/>
  <c r="H8" i="3"/>
  <c r="B13" i="3"/>
  <c r="E14" i="3"/>
  <c r="B13" i="18"/>
  <c r="E14" i="18"/>
  <c r="D11" i="7" l="1"/>
  <c r="D17" i="7" s="1"/>
  <c r="F9" i="3"/>
  <c r="B14" i="3"/>
  <c r="E15" i="3"/>
  <c r="E15" i="18"/>
  <c r="B14" i="18"/>
  <c r="F9" i="18"/>
  <c r="D18" i="7" l="1"/>
  <c r="F17" i="7"/>
  <c r="I12" i="16" s="1"/>
  <c r="D20" i="7"/>
  <c r="D26" i="7" s="1"/>
  <c r="I5" i="16" s="1"/>
  <c r="E16" i="18"/>
  <c r="B15" i="18"/>
  <c r="C9" i="3"/>
  <c r="G9" i="3"/>
  <c r="C9" i="18"/>
  <c r="G9" i="18"/>
  <c r="B15" i="3"/>
  <c r="E16" i="3"/>
  <c r="F18" i="7" l="1"/>
  <c r="I13" i="16" s="1"/>
  <c r="D22" i="7"/>
  <c r="D28" i="7" s="1"/>
  <c r="I6" i="16" s="1"/>
  <c r="D9" i="18"/>
  <c r="H9" i="18"/>
  <c r="E17" i="3"/>
  <c r="B16" i="3"/>
  <c r="D9" i="3"/>
  <c r="H9" i="3"/>
  <c r="B16" i="18"/>
  <c r="E17" i="18"/>
  <c r="F10" i="3" l="1"/>
  <c r="B17" i="3"/>
  <c r="F10" i="18"/>
  <c r="B17" i="18"/>
  <c r="C10" i="18" l="1"/>
  <c r="G10" i="18"/>
  <c r="C10" i="3"/>
  <c r="G10" i="3"/>
  <c r="D10" i="3" l="1"/>
  <c r="H10" i="3"/>
  <c r="D10" i="18"/>
  <c r="H10" i="18"/>
  <c r="F11" i="18" l="1"/>
  <c r="F11" i="3"/>
  <c r="C11" i="3" l="1"/>
  <c r="G11" i="3"/>
  <c r="C11" i="18"/>
  <c r="G11" i="18"/>
  <c r="D11" i="18" l="1"/>
  <c r="H11" i="18"/>
  <c r="D11" i="3"/>
  <c r="H11" i="3"/>
  <c r="F12" i="18" l="1"/>
  <c r="F12" i="3"/>
  <c r="C12" i="3" l="1"/>
  <c r="G12" i="3"/>
  <c r="C12" i="18"/>
  <c r="G12" i="18"/>
  <c r="D12" i="18" l="1"/>
  <c r="H12" i="18"/>
  <c r="D12" i="3"/>
  <c r="H12" i="3"/>
  <c r="F13" i="3" l="1"/>
  <c r="F13" i="18"/>
  <c r="C13" i="3" l="1"/>
  <c r="G13" i="3"/>
  <c r="C13" i="18"/>
  <c r="G13" i="18"/>
  <c r="D13" i="3" l="1"/>
  <c r="H13" i="3"/>
  <c r="D13" i="18"/>
  <c r="H13" i="18"/>
  <c r="F14" i="18" l="1"/>
  <c r="F14" i="3"/>
  <c r="C14" i="3" l="1"/>
  <c r="G14" i="3"/>
  <c r="C14" i="18"/>
  <c r="G14" i="18"/>
  <c r="D14" i="3" l="1"/>
  <c r="H14" i="3"/>
  <c r="D14" i="18"/>
  <c r="H14" i="18"/>
  <c r="F15" i="3" l="1"/>
  <c r="F15" i="18"/>
  <c r="C15" i="3" l="1"/>
  <c r="G15" i="3"/>
  <c r="C15" i="18"/>
  <c r="G15" i="18"/>
  <c r="D15" i="18" l="1"/>
  <c r="H15" i="18"/>
  <c r="D15" i="3"/>
  <c r="H15" i="3"/>
  <c r="F16" i="18" l="1"/>
  <c r="F16" i="3"/>
  <c r="C16" i="3" l="1"/>
  <c r="G16" i="3"/>
  <c r="C16" i="18"/>
  <c r="G16" i="18"/>
  <c r="D16" i="18" l="1"/>
  <c r="H16" i="18"/>
  <c r="D16" i="3"/>
  <c r="H16" i="3"/>
  <c r="F17" i="3" l="1"/>
  <c r="F17" i="18"/>
  <c r="C17" i="18" l="1"/>
  <c r="G17" i="18"/>
  <c r="C17" i="3"/>
  <c r="G17" i="3"/>
  <c r="D17" i="3" l="1"/>
  <c r="H17" i="3"/>
  <c r="D17" i="18"/>
  <c r="H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tc={514CD097-E4BE-45AF-B8A4-3D6ED3E00FF3}</author>
    <author>tc={513AB5C4-A842-4489-950B-6609BA177792}</author>
    <author>Bart Kastelein</author>
  </authors>
  <commentList>
    <comment ref="K44" authorId="0" shapeId="0" xr:uid="{514CD097-E4BE-45AF-B8A4-3D6ED3E00FF3}">
      <text>
        <t>[Threaded comment]
Your version of Excel allows you to read this threaded comment; however, any edits to it will get removed if the file is opened in a newer version of Excel. Learn more: https://go.microsoft.com/fwlink/?linkid=870924
Comment:
    OECD Equivalisation methodology: https://www.ons.gov.uk/peoplepopulationandcommunity/personalandhouseholdfinances/incomeandwealth/compendium/familyspending/2015/chapter3equivalisedincome</t>
      </text>
    </comment>
    <comment ref="K47" authorId="1" shapeId="0" xr:uid="{513AB5C4-A842-4489-950B-6609BA177792}">
      <text>
        <t>[Threaded comment]
Your version of Excel allows you to read this threaded comment; however, any edits to it will get removed if the file is opened in a newer version of Excel. Learn more: https://go.microsoft.com/fwlink/?linkid=870924
Comment:
    average household size: https://www.ons.gov.uk/peoplepopulationandcommunity/birthsdeathsandmarriages/families/bulletins/familiesandhouseholds/2022#:~:text=Households-,There%20were%20an%20estimated%2028.2%20million%20households%20in%20the%20UK,both%202012%20and%20in%202022.</t>
      </text>
    </comment>
    <comment ref="B50" authorId="2" shapeId="0" xr:uid="{49A5A599-59AE-4099-944B-332956F23510}">
      <text>
        <r>
          <rPr>
            <b/>
            <sz val="9"/>
            <color indexed="81"/>
            <rFont val="Tahoma"/>
            <family val="2"/>
          </rPr>
          <t>Bart Kastelein:</t>
        </r>
        <r>
          <rPr>
            <sz val="9"/>
            <color indexed="81"/>
            <rFont val="Tahoma"/>
            <family val="2"/>
          </rPr>
          <t xml:space="preserve">
Including all applicants
</t>
        </r>
      </text>
    </comment>
  </commentList>
</comments>
</file>

<file path=xl/sharedStrings.xml><?xml version="1.0" encoding="utf-8"?>
<sst xmlns="http://schemas.openxmlformats.org/spreadsheetml/2006/main" count="268" uniqueCount="198">
  <si>
    <t>Mth Rep</t>
  </si>
  <si>
    <t>Mth Int</t>
  </si>
  <si>
    <t>Mth Cap</t>
  </si>
  <si>
    <t>Int</t>
  </si>
  <si>
    <t>Capital</t>
  </si>
  <si>
    <t>Balance</t>
  </si>
  <si>
    <t>Interest Rate</t>
  </si>
  <si>
    <t>Calc Rate</t>
  </si>
  <si>
    <t>Term Mths</t>
  </si>
  <si>
    <t>Interest Only Result</t>
  </si>
  <si>
    <t>Repayment Result</t>
  </si>
  <si>
    <t>Usable Budget</t>
  </si>
  <si>
    <t>Net Monthly Budget</t>
  </si>
  <si>
    <t>Total Expenditure</t>
  </si>
  <si>
    <t>Total Usable Income</t>
  </si>
  <si>
    <t>Total Loan</t>
  </si>
  <si>
    <t>Term Years</t>
  </si>
  <si>
    <t>Term Months</t>
  </si>
  <si>
    <t>Term (Years)</t>
  </si>
  <si>
    <t>Stress Test Rate (%)</t>
  </si>
  <si>
    <t>Maximum Loan Interest Only</t>
  </si>
  <si>
    <t>Stress Tested Annuity</t>
  </si>
  <si>
    <t>Stress Tested Interest Only</t>
  </si>
  <si>
    <t>Maximum Loan Annuity</t>
  </si>
  <si>
    <t>Maximum Loan (Annuity)</t>
  </si>
  <si>
    <t>Maximum Loan (Interest Only)</t>
  </si>
  <si>
    <t>Term</t>
  </si>
  <si>
    <t>Other</t>
  </si>
  <si>
    <t>Applicant 1</t>
  </si>
  <si>
    <t>Applicant 2</t>
  </si>
  <si>
    <t>Total Income</t>
  </si>
  <si>
    <t xml:space="preserve">Maximum Loan Capital Repayment </t>
  </si>
  <si>
    <t>Monthly Repayment (Interest Only)</t>
  </si>
  <si>
    <t>Monthly Repayment (Capital Repayment)</t>
  </si>
  <si>
    <t>Child maintenance</t>
  </si>
  <si>
    <t>Mortgage (if to remain)</t>
  </si>
  <si>
    <t>Ground rent &amp; service charge</t>
  </si>
  <si>
    <t>Pension contribution</t>
  </si>
  <si>
    <t>Interest only repayment vehicle</t>
  </si>
  <si>
    <t>Rent (if to remain or shared ownership)</t>
  </si>
  <si>
    <t>Total monthly repayment</t>
  </si>
  <si>
    <t>Total loan amount</t>
  </si>
  <si>
    <t>Loan amount</t>
  </si>
  <si>
    <t>Net monthly basic salary &amp; contractual allowances</t>
  </si>
  <si>
    <t>Monthly expenditure</t>
  </si>
  <si>
    <t>Education &amp; childcare</t>
  </si>
  <si>
    <t>Term (years)</t>
  </si>
  <si>
    <t>Interest rate</t>
  </si>
  <si>
    <t>Product</t>
  </si>
  <si>
    <t>Conversion</t>
  </si>
  <si>
    <t>Shared Ownership</t>
  </si>
  <si>
    <t>Version</t>
  </si>
  <si>
    <t>Date of Go Live</t>
  </si>
  <si>
    <t>Change</t>
  </si>
  <si>
    <t>Stress Rate reduced from 3% to 1.75%. Eco Homes product added.</t>
  </si>
  <si>
    <t>Self Build On sale product range changed from 6.49% to 6.24%</t>
  </si>
  <si>
    <t>All product rates reduced by 0.25%</t>
  </si>
  <si>
    <t>Renovation 80% LTV product added. 5.29%</t>
  </si>
  <si>
    <t>Calculate Expenditure</t>
  </si>
  <si>
    <t>&gt;&gt;&gt;</t>
  </si>
  <si>
    <t>THIS IS A CONFIGURABLE MODELLED EXPENDITURE CALCULATION</t>
  </si>
  <si>
    <t>ORANGE IS INPUT VALUES FOR THIS CALCULATION</t>
  </si>
  <si>
    <t>GREEN IS A RESULT THAT IS PART OF RESPONSE</t>
  </si>
  <si>
    <t>Gross Application Income Weekly</t>
  </si>
  <si>
    <t>Gross Application Income Monthly</t>
  </si>
  <si>
    <t>BLUE IS CONFIGURABLE PDS PARAMETER</t>
  </si>
  <si>
    <t>TotalGrossApplicationIncome</t>
  </si>
  <si>
    <t xml:space="preserve">INCOME TO USE </t>
  </si>
  <si>
    <t>TotalUsableApplicationIncome</t>
  </si>
  <si>
    <t xml:space="preserve">RetirementCondition </t>
  </si>
  <si>
    <t xml:space="preserve">*The implemented calculation itself is determining if the RetirementCondition is TRUE or FALSE </t>
  </si>
  <si>
    <t>Applicants with Household (incl. NrOfChildren)</t>
  </si>
  <si>
    <t>A - ExpenseCategory = Personal expenditure</t>
  </si>
  <si>
    <t>TotalGrossApplicationIncome (1)</t>
  </si>
  <si>
    <t>ExpenseType</t>
  </si>
  <si>
    <t>Model
value</t>
  </si>
  <si>
    <r>
      <rPr>
        <b/>
        <sz val="10"/>
        <color rgb="FFA5A5A5"/>
        <rFont val="Arial"/>
        <family val="2"/>
      </rPr>
      <t xml:space="preserve">Expediture value Weekly 
</t>
    </r>
    <r>
      <rPr>
        <b/>
        <u/>
        <sz val="8"/>
        <color rgb="FFA5A5A5"/>
        <rFont val="Arial"/>
        <family val="2"/>
      </rPr>
      <t xml:space="preserve">Before
</t>
    </r>
    <r>
      <rPr>
        <b/>
        <sz val="8"/>
        <color rgb="FFA5A5A5"/>
        <rFont val="Arial"/>
        <family val="2"/>
      </rPr>
      <t>Scalingfactor+RetirementCorrection</t>
    </r>
  </si>
  <si>
    <t>Expediture value Monthly
including scaling</t>
  </si>
  <si>
    <r>
      <t xml:space="preserve">Expediture value Monthly 
</t>
    </r>
    <r>
      <rPr>
        <b/>
        <u/>
        <sz val="8"/>
        <color theme="0" tint="-0.14999847407452621"/>
        <rFont val="Arial"/>
        <family val="2"/>
      </rPr>
      <t>After</t>
    </r>
    <r>
      <rPr>
        <b/>
        <sz val="8"/>
        <color theme="0" tint="-0.14999847407452621"/>
        <rFont val="Arial"/>
        <family val="2"/>
      </rPr>
      <t xml:space="preserve"> 
Scalingfactor+RetirementCorrection</t>
    </r>
  </si>
  <si>
    <r>
      <t xml:space="preserve">Expediture value Monthly 
</t>
    </r>
    <r>
      <rPr>
        <b/>
        <u/>
        <sz val="8"/>
        <color rgb="FFA9D08E"/>
        <rFont val="Arial"/>
        <family val="2"/>
      </rPr>
      <t>After</t>
    </r>
    <r>
      <rPr>
        <b/>
        <sz val="8"/>
        <color rgb="FFA9D08E"/>
        <rFont val="Arial"/>
        <family val="2"/>
      </rPr>
      <t xml:space="preserve"> 
Scalingfactor+RetirementCorrection+Inflation</t>
    </r>
  </si>
  <si>
    <t>Additional expenditure (0-N expenses) --&gt; flexible just expect 0-N expenses with type (string) + amount and category 'additional expenditure'</t>
  </si>
  <si>
    <t>-</t>
  </si>
  <si>
    <t>Total expenditure</t>
  </si>
  <si>
    <t>Total scaling factor used</t>
  </si>
  <si>
    <t>List of ExpenseTypes, grouped by ExpenditureCategory, including ExpenditureValue, including Used Percentage Value</t>
  </si>
  <si>
    <t>Inflation to bring data up to date</t>
  </si>
  <si>
    <t>Forward looking inflation</t>
  </si>
  <si>
    <t>Total</t>
  </si>
  <si>
    <t>Personal Care</t>
  </si>
  <si>
    <t>Inflation to bring data up to date - council tax</t>
  </si>
  <si>
    <t>Insurance</t>
  </si>
  <si>
    <t>Forward looking inflation - council tax</t>
  </si>
  <si>
    <t>Family spending workbook 1: detailed expenditure and trends</t>
  </si>
  <si>
    <t>Family spending workbook 2: expenditure by income</t>
  </si>
  <si>
    <t>Table 3.1E5</t>
  </si>
  <si>
    <t>Table A23</t>
  </si>
  <si>
    <t>C - ExpenseCategory = Additional expenditure</t>
  </si>
  <si>
    <t>ExpenditureCategory</t>
  </si>
  <si>
    <t>ModelValuePercentage</t>
  </si>
  <si>
    <t>CalculationMethod</t>
  </si>
  <si>
    <t>ExpenditureLow (weekly)</t>
  </si>
  <si>
    <t>ExpenditureMedium (weekly)</t>
  </si>
  <si>
    <t>ExpenditureHigh (weekly)</t>
  </si>
  <si>
    <t>IncludeScalingFactor</t>
  </si>
  <si>
    <t>RetirementCorrection</t>
  </si>
  <si>
    <t>AnnualMaximum</t>
  </si>
  <si>
    <t>Used value</t>
  </si>
  <si>
    <t>Expediture value Weekly</t>
  </si>
  <si>
    <t>Expediture value Monthly</t>
  </si>
  <si>
    <t>Food &amp; non-alcoholic drinks</t>
  </si>
  <si>
    <t>Personal expenditure</t>
  </si>
  <si>
    <t>Basic Essential Expenditure</t>
  </si>
  <si>
    <t>ProportionalModelCalculation</t>
  </si>
  <si>
    <t>Property Service Charge</t>
  </si>
  <si>
    <t>Alcoholic drinks, tobacco &amp; narcotics</t>
  </si>
  <si>
    <t>Property Ground Rent</t>
  </si>
  <si>
    <t>Clothing &amp; footwear</t>
  </si>
  <si>
    <t>Basic quality-of-living costs of the customer's household</t>
  </si>
  <si>
    <t>Childcare</t>
  </si>
  <si>
    <t>Housing (excl. rent), fuel &amp; power</t>
  </si>
  <si>
    <t>School/University Fees</t>
  </si>
  <si>
    <t>Household goods &amp; services</t>
  </si>
  <si>
    <t>Tenancy/Rent (on other property)</t>
  </si>
  <si>
    <t>Health</t>
  </si>
  <si>
    <t>Second Home Running Costs</t>
  </si>
  <si>
    <t>Transport</t>
  </si>
  <si>
    <t>Other Monthly Expenses</t>
  </si>
  <si>
    <t>Communication</t>
  </si>
  <si>
    <t>Recreation &amp; culture</t>
  </si>
  <si>
    <t>Total Basic Expenditure value (monthly)</t>
  </si>
  <si>
    <t>Total Basic Quality of Living Expenditure value (monthly)</t>
  </si>
  <si>
    <t>Total Additional Expenditure value (monthly)</t>
  </si>
  <si>
    <t>Council Tax</t>
  </si>
  <si>
    <t>Total Expenditure value (monthly)</t>
  </si>
  <si>
    <t>Total Expenditure value (annually)</t>
  </si>
  <si>
    <t>ExpenditureApplicationIncomeType</t>
  </si>
  <si>
    <t>OECD Scaling Units</t>
  </si>
  <si>
    <t>OECD Factor</t>
  </si>
  <si>
    <t>Sub-total</t>
  </si>
  <si>
    <t>HouseholdIncomeLow</t>
  </si>
  <si>
    <t>Effects of taxes and benefits on household income</t>
  </si>
  <si>
    <t>HouseholdIncomeBaseline</t>
  </si>
  <si>
    <t>Table 2a</t>
  </si>
  <si>
    <t>HouseholdIncomeHigh</t>
  </si>
  <si>
    <t>EquivalenceScaleFactorSecondChild</t>
  </si>
  <si>
    <t>EquivalenceScaleFactorHeadOfHousehold</t>
  </si>
  <si>
    <t>See link</t>
  </si>
  <si>
    <t>EquivalenceScaleFactorSubsequentChild</t>
  </si>
  <si>
    <t>EquivalenceScaleFactorSubsequentAdults</t>
  </si>
  <si>
    <t>Family spending workbook 2: expenditure by incomeTable 3.3E and 3.7E to validate</t>
  </si>
  <si>
    <t>Total Scaling Factor</t>
  </si>
  <si>
    <t>EquivalenceScaleFactorChildren</t>
  </si>
  <si>
    <t>AverageHouseholdCompositionFactor</t>
  </si>
  <si>
    <t>CivilSituation from Application</t>
  </si>
  <si>
    <t>NumberOfAdults (+14)</t>
  </si>
  <si>
    <t>NumberOfChildren (-14)</t>
  </si>
  <si>
    <t xml:space="preserve">Gross Annual Salary </t>
  </si>
  <si>
    <t>Household Composition</t>
  </si>
  <si>
    <t>Number of Adults (14+)</t>
  </si>
  <si>
    <t>Number of Children (&lt;14)</t>
  </si>
  <si>
    <t>Applicant 3</t>
  </si>
  <si>
    <t>Applicant 4</t>
  </si>
  <si>
    <t>Used Monthly value %</t>
  </si>
  <si>
    <t xml:space="preserve">Total inflation for council tax </t>
  </si>
  <si>
    <t>Total inflation (exc. council tax)</t>
  </si>
  <si>
    <t>Inflation</t>
  </si>
  <si>
    <t>Inflation %</t>
  </si>
  <si>
    <t>Total Council Tax value (monthly)</t>
  </si>
  <si>
    <t>Total Modelled Household Expenditure</t>
  </si>
  <si>
    <t>Total monthly expenditure</t>
  </si>
  <si>
    <t>Modelled</t>
  </si>
  <si>
    <t>Expenditure</t>
  </si>
  <si>
    <t>Type</t>
  </si>
  <si>
    <t>Updated for internal use only to incorporate ONS modelled expenditure.</t>
  </si>
  <si>
    <t>Decision (Capital Repayment)</t>
  </si>
  <si>
    <t>Decision (Interest Only)</t>
  </si>
  <si>
    <t>Stress Rate</t>
  </si>
  <si>
    <t>Loans / hire purchase (if to remain)</t>
  </si>
  <si>
    <t>Dependants</t>
  </si>
  <si>
    <t>Affordable Local Homes</t>
  </si>
  <si>
    <t xml:space="preserve">Community Living </t>
  </si>
  <si>
    <t>Total Other Monthly Expenditure</t>
  </si>
  <si>
    <t>Total Modelled &amp; other Expenditure</t>
  </si>
  <si>
    <t>fdsf</t>
  </si>
  <si>
    <t xml:space="preserve">
The figures provided by this calculator are for illustration only and are designed to give an indication of the amount that we may be able to lend. The figures provided do not constitute an offer to lend. The actual amount that we may be able to lend will depend on the applicant's financial situation including a full assessment of affordability (including a credit check), the property value and the size of the applicant's deposit.  
This will take into account actual income and outgoings, when an application is submitted. Interest only loans require an acceptable repayment strategy.
Ecology Building Society is authorised by the Prudential Regulation Authority and regulated by the Financial Conduct Authority and the Prudential Regulation Authority.  Financial Services Register No. 162090</t>
  </si>
  <si>
    <t xml:space="preserve">Decision Loan to income </t>
  </si>
  <si>
    <t>Loan to income ratio</t>
  </si>
  <si>
    <t>Credit cards (3% of the balance if to remain)</t>
  </si>
  <si>
    <t>Version 5</t>
  </si>
  <si>
    <t>Updated to include ONS and declared expenditure</t>
  </si>
  <si>
    <t xml:space="preserve">Updated to reflect front book product re-pricing </t>
  </si>
  <si>
    <t xml:space="preserve">Self Build 80 Mortgage </t>
  </si>
  <si>
    <t xml:space="preserve">Self Build 65 Mortgage </t>
  </si>
  <si>
    <t>Eco-Home Mortgage</t>
  </si>
  <si>
    <t>Renovation 80 Mortgage</t>
  </si>
  <si>
    <t xml:space="preserve">Renovation 90 Mortgage </t>
  </si>
  <si>
    <t>Offsite Build (Advance) Mortgage</t>
  </si>
  <si>
    <t>Offsite Build (Arrears) Mortgage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</si>
</sst>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
    <numFmt numFmtId="165" formatCode="0.000"/>
    <numFmt numFmtId="166" formatCode="_-&quot;£&quot;* #,##0.000_-;\-&quot;£&quot;* #,##0.000_-;_-&quot;£&quot;* &quot;-&quot;???_-;_-@_-"/>
    <numFmt numFmtId="167" formatCode="&quot;£&quot;#,##0"/>
    <numFmt numFmtId="168" formatCode="_-[$£-809]* #,##0.00_-;\-[$£-809]* #,##0.00_-;_-[$£-809]* &quot;-&quot;??_-;_-@_-"/>
    <numFmt numFmtId="169" formatCode="_-[$£-809]* #,##0.00000_-;\-[$£-809]* #,##0.00000_-;_-[$£-809]* &quot;-&quot;??_-;_-@_-"/>
    <numFmt numFmtId="170" formatCode="_-* #,##0_-;\-* #,##0_-;_-* &quot;-&quot;??_-;_-@_-"/>
    <numFmt numFmtId="171" formatCode="_-&quot;£&quot;* #,##0.0000000_-;\-&quot;£&quot;* #,##0.0000000_-;_-&quot;£&quot;* &quot;-&quot;??_-;_-@_-"/>
    <numFmt numFmtId="172" formatCode="_-&quot;£&quot;* #,##0_-;\-&quot;£&quot;* #,##0_-;_-&quot;£&quot;* &quot;-&quot;??_-;_-@_-"/>
    <numFmt numFmtId="173" formatCode="0.0"/>
  </numFmts>
  <fonts count="64" x14ac:knownFonts="1">
    <font>
      <sz val="10"/>
      <name val="Arial"/>
    </font>
    <font>
      <b/>
      <sz val="10"/>
      <name val="Arial"/>
      <family val="2"/>
    </font>
    <font>
      <sz val="10"/>
      <name val="Arial"/>
      <family val="2"/>
    </font>
    <font>
      <b/>
      <sz val="11"/>
      <color theme="0"/>
      <name val="Calibri"/>
      <family val="2"/>
      <scheme val="minor"/>
    </font>
    <font>
      <sz val="10"/>
      <name val="Calibri"/>
      <family val="2"/>
      <scheme val="minor"/>
    </font>
    <font>
      <sz val="11"/>
      <name val="Calibri"/>
      <family val="2"/>
      <scheme val="minor"/>
    </font>
    <font>
      <sz val="10"/>
      <name val="Arial"/>
    </font>
    <font>
      <sz val="10"/>
      <color theme="1"/>
      <name val="Arial"/>
      <family val="2"/>
    </font>
    <font>
      <b/>
      <sz val="20"/>
      <color theme="1"/>
      <name val="Arial"/>
      <family val="2"/>
    </font>
    <font>
      <b/>
      <sz val="10"/>
      <color theme="1"/>
      <name val="Arial"/>
      <family val="2"/>
    </font>
    <font>
      <b/>
      <sz val="10"/>
      <color rgb="FFED7D31"/>
      <name val="Arial"/>
      <family val="2"/>
    </font>
    <font>
      <b/>
      <sz val="10"/>
      <color rgb="FF70AD47"/>
      <name val="Arial"/>
      <family val="2"/>
    </font>
    <font>
      <b/>
      <sz val="10"/>
      <color rgb="FFA5A5A5"/>
      <name val="Arial"/>
      <family val="2"/>
    </font>
    <font>
      <b/>
      <sz val="10"/>
      <color rgb="FF4472C4"/>
      <name val="Arial"/>
      <family val="2"/>
    </font>
    <font>
      <sz val="10"/>
      <color rgb="FFA5A5A5"/>
      <name val="Arial"/>
      <family val="2"/>
    </font>
    <font>
      <i/>
      <sz val="8"/>
      <color theme="1"/>
      <name val="Arial"/>
      <family val="2"/>
    </font>
    <font>
      <sz val="10"/>
      <color rgb="FF000000"/>
      <name val="Arial"/>
      <family val="2"/>
    </font>
    <font>
      <b/>
      <sz val="10"/>
      <color rgb="FFFF0000"/>
      <name val="Arial"/>
      <family val="2"/>
    </font>
    <font>
      <sz val="10"/>
      <color rgb="FFED7D31"/>
      <name val="Arial"/>
      <family val="2"/>
    </font>
    <font>
      <b/>
      <sz val="11"/>
      <color rgb="FF000000"/>
      <name val="Arial"/>
      <family val="2"/>
    </font>
    <font>
      <b/>
      <i/>
      <sz val="10"/>
      <color rgb="FFA9D08E"/>
      <name val="Arial"/>
      <family val="2"/>
    </font>
    <font>
      <b/>
      <u/>
      <sz val="8"/>
      <color rgb="FFA5A5A5"/>
      <name val="Arial"/>
      <family val="2"/>
    </font>
    <font>
      <b/>
      <sz val="8"/>
      <color rgb="FFA5A5A5"/>
      <name val="Arial"/>
      <family val="2"/>
    </font>
    <font>
      <b/>
      <i/>
      <sz val="10"/>
      <name val="Arial"/>
      <family val="2"/>
    </font>
    <font>
      <b/>
      <sz val="10"/>
      <color theme="0" tint="-0.14999847407452621"/>
      <name val="Arial"/>
      <family val="2"/>
    </font>
    <font>
      <b/>
      <u/>
      <sz val="8"/>
      <color theme="0" tint="-0.14999847407452621"/>
      <name val="Arial"/>
      <family val="2"/>
    </font>
    <font>
      <b/>
      <sz val="8"/>
      <color theme="0" tint="-0.14999847407452621"/>
      <name val="Arial"/>
      <family val="2"/>
    </font>
    <font>
      <b/>
      <u/>
      <sz val="8"/>
      <color rgb="FFA9D08E"/>
      <name val="Arial"/>
      <family val="2"/>
    </font>
    <font>
      <b/>
      <sz val="8"/>
      <color rgb="FFA9D08E"/>
      <name val="Arial"/>
      <family val="2"/>
    </font>
    <font>
      <i/>
      <sz val="10"/>
      <color theme="1"/>
      <name val="Arial"/>
      <family val="2"/>
    </font>
    <font>
      <sz val="10"/>
      <color rgb="FF4472C4"/>
      <name val="Arial"/>
      <family val="2"/>
    </font>
    <font>
      <sz val="10"/>
      <color rgb="FF000000"/>
      <name val="Calibri"/>
      <family val="2"/>
      <scheme val="minor"/>
    </font>
    <font>
      <b/>
      <i/>
      <sz val="10"/>
      <color rgb="FFA9D08E"/>
      <name val="Calibri"/>
      <family val="2"/>
      <scheme val="minor"/>
    </font>
    <font>
      <i/>
      <sz val="10"/>
      <color rgb="FFA5A5A5"/>
      <name val="Arial"/>
      <family val="2"/>
    </font>
    <font>
      <i/>
      <sz val="10"/>
      <name val="Arial"/>
      <family val="2"/>
    </font>
    <font>
      <i/>
      <sz val="10"/>
      <color theme="0" tint="-0.14999847407452621"/>
      <name val="Arial"/>
      <family val="2"/>
    </font>
    <font>
      <sz val="10"/>
      <color rgb="FF70AD47"/>
      <name val="Arial"/>
      <family val="2"/>
    </font>
    <font>
      <sz val="10"/>
      <color theme="1"/>
      <name val="Calibri"/>
      <family val="2"/>
      <scheme val="minor"/>
    </font>
    <font>
      <sz val="10"/>
      <color theme="0" tint="-0.14999847407452621"/>
      <name val="Arial"/>
      <family val="2"/>
    </font>
    <font>
      <i/>
      <sz val="10"/>
      <color theme="1"/>
      <name val="Calibri"/>
      <family val="2"/>
      <scheme val="minor"/>
    </font>
    <font>
      <i/>
      <sz val="10"/>
      <color rgb="FF70AD47"/>
      <name val="Arial"/>
      <family val="2"/>
    </font>
    <font>
      <i/>
      <sz val="10"/>
      <color rgb="FF4472C4"/>
      <name val="Arial"/>
      <family val="2"/>
    </font>
    <font>
      <b/>
      <sz val="10"/>
      <color rgb="FF000000"/>
      <name val="Arial"/>
      <family val="2"/>
    </font>
    <font>
      <sz val="10"/>
      <color rgb="FFFF0000"/>
      <name val="Arial"/>
      <family val="2"/>
    </font>
    <font>
      <b/>
      <sz val="11"/>
      <color rgb="FF70AD47"/>
      <name val="Arial"/>
      <family val="2"/>
    </font>
    <font>
      <sz val="10"/>
      <color indexed="9"/>
      <name val="Arial"/>
      <family val="2"/>
    </font>
    <font>
      <sz val="11"/>
      <color rgb="FF444444"/>
      <name val="Calibri"/>
      <family val="2"/>
      <charset val="1"/>
    </font>
    <font>
      <b/>
      <sz val="9"/>
      <color indexed="81"/>
      <name val="Tahoma"/>
      <family val="2"/>
    </font>
    <font>
      <sz val="9"/>
      <color indexed="81"/>
      <name val="Tahoma"/>
      <family val="2"/>
    </font>
    <font>
      <b/>
      <sz val="10"/>
      <color theme="0" tint="-0.499984740745262"/>
      <name val="Arial"/>
      <family val="2"/>
    </font>
    <font>
      <sz val="10"/>
      <color theme="0" tint="-0.499984740745262"/>
      <name val="Arial"/>
      <family val="2"/>
    </font>
    <font>
      <b/>
      <i/>
      <sz val="10"/>
      <color theme="0" tint="-0.499984740745262"/>
      <name val="Arial"/>
      <family val="2"/>
    </font>
    <font>
      <i/>
      <sz val="10"/>
      <color theme="0" tint="-0.499984740745262"/>
      <name val="Arial"/>
      <family val="2"/>
    </font>
    <font>
      <b/>
      <sz val="11"/>
      <color theme="0" tint="-0.499984740745262"/>
      <name val="Arial"/>
      <family val="2"/>
    </font>
    <font>
      <b/>
      <sz val="10"/>
      <color rgb="FF0070C0"/>
      <name val="Arial"/>
      <family val="2"/>
    </font>
    <font>
      <sz val="10"/>
      <color rgb="FF0070C0"/>
      <name val="Arial"/>
      <family val="2"/>
    </font>
    <font>
      <i/>
      <sz val="10"/>
      <color rgb="FF0070C0"/>
      <name val="Arial"/>
      <family val="2"/>
    </font>
    <font>
      <b/>
      <sz val="18"/>
      <color rgb="FFFF0000"/>
      <name val="Aptos"/>
      <family val="2"/>
    </font>
    <font>
      <b/>
      <sz val="10"/>
      <name val="Aptos"/>
      <family val="2"/>
    </font>
    <font>
      <b/>
      <sz val="11"/>
      <name val="Aptos"/>
      <family val="2"/>
    </font>
    <font>
      <b/>
      <sz val="12"/>
      <color theme="0"/>
      <name val="Aptos"/>
      <family val="2"/>
    </font>
    <font>
      <sz val="12"/>
      <name val="Aptos"/>
      <family val="2"/>
    </font>
    <font>
      <sz val="12"/>
      <color theme="0"/>
      <name val="Aptos"/>
      <family val="2"/>
    </font>
    <font>
      <b/>
      <sz val="12"/>
      <name val="Aptos"/>
      <family val="2"/>
    </font>
  </fonts>
  <fills count="10">
    <fill>
      <patternFill patternType="none"/>
    </fill>
    <fill>
      <patternFill patternType="gray125"/>
    </fill>
    <fill>
      <patternFill patternType="solid">
        <fgColor indexed="65"/>
        <bgColor theme="0"/>
      </patternFill>
    </fill>
    <fill>
      <patternFill patternType="solid">
        <fgColor indexed="13"/>
        <bgColor theme="0"/>
      </patternFill>
    </fill>
    <fill>
      <patternFill patternType="solid">
        <fgColor rgb="FFFFFF00"/>
        <bgColor theme="0"/>
      </patternFill>
    </fill>
    <fill>
      <patternFill patternType="solid">
        <fgColor rgb="FFFFC000"/>
        <bgColor theme="0"/>
      </patternFill>
    </fill>
    <fill>
      <patternFill patternType="solid">
        <fgColor theme="0"/>
        <bgColor theme="0"/>
      </patternFill>
    </fill>
    <fill>
      <patternFill patternType="solid">
        <fgColor theme="0"/>
        <bgColor indexed="64"/>
      </patternFill>
    </fill>
    <fill>
      <patternFill patternType="solid">
        <fgColor rgb="FF1B4529"/>
        <bgColor indexed="64"/>
      </patternFill>
    </fill>
    <fill>
      <patternFill patternType="solid">
        <fgColor rgb="FF00312E"/>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D7D31"/>
      </left>
      <right style="thin">
        <color rgb="FFED7D31"/>
      </right>
      <top style="thin">
        <color rgb="FFED7D31"/>
      </top>
      <bottom style="thin">
        <color rgb="FFED7D31"/>
      </bottom>
      <diagonal/>
    </border>
    <border>
      <left style="dashed">
        <color rgb="FF4472C4"/>
      </left>
      <right style="dashed">
        <color rgb="FF4472C4"/>
      </right>
      <top style="dashed">
        <color rgb="FF4472C4"/>
      </top>
      <bottom style="dashed">
        <color rgb="FF4472C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style="medium">
        <color rgb="FF4472C4"/>
      </left>
      <right style="medium">
        <color rgb="FF4472C4"/>
      </right>
      <top style="medium">
        <color rgb="FF4472C4"/>
      </top>
      <bottom style="medium">
        <color rgb="FF4472C4"/>
      </bottom>
      <diagonal/>
    </border>
    <border>
      <left/>
      <right style="medium">
        <color rgb="FF4472C4"/>
      </right>
      <top style="medium">
        <color rgb="FF4472C4"/>
      </top>
      <bottom style="medium">
        <color rgb="FF4472C4"/>
      </bottom>
      <diagonal/>
    </border>
    <border>
      <left/>
      <right/>
      <top style="medium">
        <color rgb="FF4472C4"/>
      </top>
      <bottom style="medium">
        <color rgb="FF4472C4"/>
      </bottom>
      <diagonal/>
    </border>
    <border>
      <left style="medium">
        <color theme="9" tint="-0.249977111117893"/>
      </left>
      <right style="medium">
        <color rgb="FF4472C4"/>
      </right>
      <top style="medium">
        <color rgb="FF4472C4"/>
      </top>
      <bottom style="medium">
        <color rgb="FF4472C4"/>
      </bottom>
      <diagonal/>
    </border>
    <border>
      <left style="medium">
        <color rgb="FF4472C4"/>
      </left>
      <right style="medium">
        <color theme="9" tint="-0.249977111117893"/>
      </right>
      <top style="medium">
        <color rgb="FF4472C4"/>
      </top>
      <bottom style="medium">
        <color rgb="FF4472C4"/>
      </bottom>
      <diagonal/>
    </border>
    <border>
      <left style="medium">
        <color theme="9" tint="-0.249977111117893"/>
      </left>
      <right style="medium">
        <color theme="9" tint="-0.249977111117893"/>
      </right>
      <top style="medium">
        <color rgb="FF4472C4"/>
      </top>
      <bottom style="medium">
        <color rgb="FF4472C4"/>
      </bottom>
      <diagonal/>
    </border>
    <border>
      <left style="dashed">
        <color rgb="FF4472C4"/>
      </left>
      <right/>
      <top style="dashed">
        <color rgb="FF4472C4"/>
      </top>
      <bottom style="dashed">
        <color rgb="FF4472C4"/>
      </bottom>
      <diagonal/>
    </border>
    <border>
      <left style="medium">
        <color theme="9" tint="-0.249977111117893"/>
      </left>
      <right style="dashed">
        <color rgb="FF4472C4"/>
      </right>
      <top style="dashed">
        <color rgb="FF4472C4"/>
      </top>
      <bottom style="dashed">
        <color rgb="FF4472C4"/>
      </bottom>
      <diagonal/>
    </border>
    <border>
      <left style="dashed">
        <color rgb="FF4472C4"/>
      </left>
      <right style="medium">
        <color theme="9" tint="-0.249977111117893"/>
      </right>
      <top style="dashed">
        <color rgb="FF4472C4"/>
      </top>
      <bottom style="dashed">
        <color rgb="FF4472C4"/>
      </bottom>
      <diagonal/>
    </border>
    <border>
      <left/>
      <right/>
      <top style="dashed">
        <color rgb="FF4472C4"/>
      </top>
      <bottom style="dashed">
        <color rgb="FF4472C4"/>
      </bottom>
      <diagonal/>
    </border>
    <border>
      <left style="medium">
        <color theme="9" tint="-0.249977111117893"/>
      </left>
      <right style="medium">
        <color theme="9" tint="-0.249977111117893"/>
      </right>
      <top style="dashed">
        <color rgb="FF4472C4"/>
      </top>
      <bottom style="dashed">
        <color rgb="FF4472C4"/>
      </bottom>
      <diagonal/>
    </border>
    <border>
      <left/>
      <right style="dashed">
        <color rgb="FF4472C4"/>
      </right>
      <top style="dashed">
        <color rgb="FF4472C4"/>
      </top>
      <bottom style="dashed">
        <color rgb="FF4472C4"/>
      </bottom>
      <diagonal/>
    </border>
    <border>
      <left style="thin">
        <color rgb="FF000000"/>
      </left>
      <right style="thin">
        <color rgb="FF000000"/>
      </right>
      <top/>
      <bottom style="thin">
        <color rgb="FF000000"/>
      </bottom>
      <diagonal/>
    </border>
    <border>
      <left style="thin">
        <color rgb="FF70AD47"/>
      </left>
      <right style="thin">
        <color rgb="FF70AD47"/>
      </right>
      <top style="thin">
        <color rgb="FF70AD47"/>
      </top>
      <bottom style="thin">
        <color rgb="FF70AD47"/>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thin">
        <color rgb="FF000000"/>
      </left>
      <right style="thin">
        <color rgb="FF000000"/>
      </right>
      <top style="thin">
        <color rgb="FF000000"/>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0AD47"/>
      </left>
      <right style="thin">
        <color rgb="FF70AD47"/>
      </right>
      <top/>
      <bottom style="thin">
        <color rgb="FF70AD47"/>
      </bottom>
      <diagonal/>
    </border>
    <border>
      <left style="thin">
        <color indexed="64"/>
      </left>
      <right style="thin">
        <color indexed="64"/>
      </right>
      <top/>
      <bottom style="thin">
        <color indexed="64"/>
      </bottom>
      <diagonal/>
    </border>
    <border>
      <left style="medium">
        <color rgb="FFFF0000"/>
      </left>
      <right style="thin">
        <color rgb="FF000000"/>
      </right>
      <top style="medium">
        <color rgb="FFFF0000"/>
      </top>
      <bottom style="thin">
        <color rgb="FF000000"/>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rgb="FF000000"/>
      </right>
      <top style="thin">
        <color rgb="FF000000"/>
      </top>
      <bottom style="thin">
        <color rgb="FF000000"/>
      </bottom>
      <diagonal/>
    </border>
    <border>
      <left style="thin">
        <color indexed="64"/>
      </left>
      <right style="medium">
        <color rgb="FFFF0000"/>
      </right>
      <top style="thin">
        <color indexed="64"/>
      </top>
      <bottom style="thin">
        <color indexed="64"/>
      </bottom>
      <diagonal/>
    </border>
    <border>
      <left style="medium">
        <color rgb="FFFF0000"/>
      </left>
      <right style="thin">
        <color rgb="FF000000"/>
      </right>
      <top style="thin">
        <color rgb="FF000000"/>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rgb="FF92D050"/>
      </left>
      <right style="thin">
        <color rgb="FF92D050"/>
      </right>
      <top style="thin">
        <color rgb="FF92D050"/>
      </top>
      <bottom style="thin">
        <color rgb="FF92D050"/>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41">
    <xf numFmtId="0" fontId="0" fillId="0" borderId="0" xfId="0"/>
    <xf numFmtId="0" fontId="0" fillId="2" borderId="0" xfId="0" applyFill="1"/>
    <xf numFmtId="0" fontId="0" fillId="2" borderId="0" xfId="0"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right"/>
      <protection locked="0"/>
    </xf>
    <xf numFmtId="0" fontId="1" fillId="2" borderId="0" xfId="0" applyFont="1" applyFill="1" applyAlignment="1">
      <alignment horizontal="right"/>
    </xf>
    <xf numFmtId="0" fontId="1" fillId="2" borderId="0" xfId="0" applyFont="1" applyFill="1"/>
    <xf numFmtId="2" fontId="0" fillId="3" borderId="0" xfId="0" applyNumberFormat="1" applyFill="1"/>
    <xf numFmtId="44" fontId="0" fillId="3" borderId="0" xfId="0" applyNumberFormat="1" applyFill="1"/>
    <xf numFmtId="0" fontId="0" fillId="3" borderId="0" xfId="0" applyFill="1"/>
    <xf numFmtId="2" fontId="0" fillId="2" borderId="0" xfId="0" applyNumberFormat="1" applyFill="1"/>
    <xf numFmtId="1" fontId="0" fillId="4" borderId="0" xfId="0" applyNumberFormat="1" applyFill="1"/>
    <xf numFmtId="43" fontId="0" fillId="6" borderId="12" xfId="0" applyNumberFormat="1" applyFill="1" applyBorder="1" applyAlignment="1">
      <alignment horizontal="right"/>
    </xf>
    <xf numFmtId="43" fontId="0" fillId="2" borderId="12" xfId="0" applyNumberFormat="1" applyFill="1" applyBorder="1" applyAlignment="1">
      <alignment horizontal="right"/>
    </xf>
    <xf numFmtId="1" fontId="0" fillId="3" borderId="0" xfId="0" applyNumberFormat="1" applyFill="1"/>
    <xf numFmtId="0" fontId="0" fillId="2" borderId="13" xfId="0" applyFill="1" applyBorder="1"/>
    <xf numFmtId="0" fontId="1" fillId="2" borderId="12" xfId="0" applyFont="1" applyFill="1" applyBorder="1"/>
    <xf numFmtId="0" fontId="1" fillId="2" borderId="0" xfId="0" applyFont="1" applyFill="1" applyProtection="1">
      <protection locked="0"/>
    </xf>
    <xf numFmtId="0" fontId="0" fillId="2" borderId="2" xfId="0" applyFill="1" applyBorder="1" applyAlignment="1" applyProtection="1">
      <alignment horizontal="right"/>
      <protection locked="0"/>
    </xf>
    <xf numFmtId="0" fontId="2" fillId="2" borderId="0" xfId="0" applyFont="1" applyFill="1"/>
    <xf numFmtId="0" fontId="1" fillId="2" borderId="4" xfId="0" applyFont="1" applyFill="1" applyBorder="1" applyProtection="1">
      <protection locked="0"/>
    </xf>
    <xf numFmtId="166" fontId="1" fillId="2" borderId="0" xfId="0" applyNumberFormat="1" applyFont="1" applyFill="1" applyAlignment="1">
      <alignment horizontal="right"/>
    </xf>
    <xf numFmtId="44" fontId="0" fillId="2" borderId="0" xfId="0" applyNumberFormat="1" applyFill="1" applyProtection="1">
      <protection locked="0"/>
    </xf>
    <xf numFmtId="44" fontId="0" fillId="2" borderId="4" xfId="0" applyNumberFormat="1" applyFill="1" applyBorder="1" applyProtection="1">
      <protection locked="0"/>
    </xf>
    <xf numFmtId="0" fontId="0" fillId="2" borderId="7" xfId="0" applyFill="1" applyBorder="1" applyAlignment="1" applyProtection="1">
      <alignment horizontal="right"/>
      <protection locked="0"/>
    </xf>
    <xf numFmtId="0" fontId="0" fillId="2" borderId="0" xfId="0" applyFill="1" applyAlignment="1">
      <alignment horizontal="right"/>
    </xf>
    <xf numFmtId="0" fontId="1" fillId="4" borderId="14" xfId="0" applyFont="1" applyFill="1" applyBorder="1"/>
    <xf numFmtId="44" fontId="1" fillId="4" borderId="15" xfId="0" applyNumberFormat="1" applyFont="1" applyFill="1" applyBorder="1"/>
    <xf numFmtId="0" fontId="1" fillId="6" borderId="0" xfId="0" applyFont="1" applyFill="1"/>
    <xf numFmtId="0" fontId="2" fillId="6" borderId="0" xfId="0" applyFont="1" applyFill="1"/>
    <xf numFmtId="1" fontId="1" fillId="2" borderId="0" xfId="0" applyNumberFormat="1" applyFont="1" applyFill="1"/>
    <xf numFmtId="43" fontId="0" fillId="2" borderId="16" xfId="0" applyNumberFormat="1" applyFill="1" applyBorder="1" applyAlignment="1">
      <alignment horizontal="right"/>
    </xf>
    <xf numFmtId="43" fontId="0" fillId="2" borderId="0" xfId="0" applyNumberFormat="1" applyFill="1" applyAlignment="1">
      <alignment horizontal="right"/>
    </xf>
    <xf numFmtId="10" fontId="0" fillId="2" borderId="0" xfId="0" applyNumberFormat="1" applyFill="1"/>
    <xf numFmtId="2" fontId="1" fillId="2" borderId="12" xfId="0" applyNumberFormat="1" applyFont="1" applyFill="1" applyBorder="1" applyAlignment="1">
      <alignment horizontal="right"/>
    </xf>
    <xf numFmtId="165" fontId="0" fillId="3" borderId="0" xfId="0" applyNumberFormat="1" applyFill="1"/>
    <xf numFmtId="0" fontId="4" fillId="0" borderId="0" xfId="0" applyFont="1"/>
    <xf numFmtId="167" fontId="4" fillId="0" borderId="0" xfId="0" applyNumberFormat="1" applyFont="1"/>
    <xf numFmtId="164" fontId="4" fillId="0" borderId="0" xfId="0" applyNumberFormat="1" applyFont="1"/>
    <xf numFmtId="0" fontId="5" fillId="0" borderId="12" xfId="0" applyFont="1" applyBorder="1"/>
    <xf numFmtId="167" fontId="5" fillId="0" borderId="12" xfId="0" applyNumberFormat="1" applyFont="1" applyBorder="1" applyAlignment="1" applyProtection="1">
      <alignment horizontal="center"/>
      <protection locked="0"/>
    </xf>
    <xf numFmtId="167" fontId="5" fillId="0" borderId="17" xfId="0" applyNumberFormat="1" applyFont="1" applyBorder="1" applyAlignment="1" applyProtection="1">
      <alignment horizontal="left"/>
      <protection locked="0"/>
    </xf>
    <xf numFmtId="0" fontId="3" fillId="8" borderId="17" xfId="0" applyFont="1" applyFill="1" applyBorder="1"/>
    <xf numFmtId="0" fontId="3" fillId="8" borderId="17" xfId="0" applyFont="1" applyFill="1" applyBorder="1" applyAlignment="1">
      <alignment horizontal="left"/>
    </xf>
    <xf numFmtId="0" fontId="3" fillId="8" borderId="18" xfId="0" applyFont="1" applyFill="1" applyBorder="1" applyAlignment="1">
      <alignment horizontal="left"/>
    </xf>
    <xf numFmtId="10" fontId="0" fillId="0" borderId="0" xfId="0" applyNumberFormat="1"/>
    <xf numFmtId="14" fontId="0" fillId="0" borderId="0" xfId="0" applyNumberFormat="1"/>
    <xf numFmtId="0" fontId="0" fillId="0" borderId="0" xfId="0" applyAlignment="1">
      <alignment wrapText="1"/>
    </xf>
    <xf numFmtId="0" fontId="2" fillId="0" borderId="0" xfId="0" applyFont="1" applyAlignment="1">
      <alignment wrapText="1"/>
    </xf>
    <xf numFmtId="0" fontId="2" fillId="0" borderId="0" xfId="0" applyFont="1"/>
    <xf numFmtId="0" fontId="8" fillId="7" borderId="0" xfId="0" applyFont="1" applyFill="1" applyProtection="1">
      <protection hidden="1"/>
    </xf>
    <xf numFmtId="0" fontId="9" fillId="7" borderId="0" xfId="0" applyFont="1" applyFill="1" applyAlignment="1" applyProtection="1">
      <alignment vertical="center"/>
      <protection hidden="1"/>
    </xf>
    <xf numFmtId="0" fontId="7" fillId="7" borderId="0" xfId="0" applyFont="1" applyFill="1" applyAlignment="1" applyProtection="1">
      <alignment vertical="center"/>
      <protection hidden="1"/>
    </xf>
    <xf numFmtId="0" fontId="7" fillId="7" borderId="0" xfId="0" applyFont="1" applyFill="1" applyProtection="1">
      <protection hidden="1"/>
    </xf>
    <xf numFmtId="0" fontId="10" fillId="7" borderId="0" xfId="0" applyFont="1" applyFill="1" applyProtection="1">
      <protection hidden="1"/>
    </xf>
    <xf numFmtId="0" fontId="11" fillId="7" borderId="0" xfId="0" applyFont="1" applyFill="1" applyProtection="1">
      <protection hidden="1"/>
    </xf>
    <xf numFmtId="0" fontId="12" fillId="7" borderId="0" xfId="0" applyFont="1" applyFill="1" applyProtection="1">
      <protection hidden="1"/>
    </xf>
    <xf numFmtId="0" fontId="9" fillId="7" borderId="0" xfId="0" applyFont="1" applyFill="1" applyProtection="1">
      <protection hidden="1"/>
    </xf>
    <xf numFmtId="0" fontId="13" fillId="7" borderId="0" xfId="0" applyFont="1" applyFill="1" applyProtection="1">
      <protection hidden="1"/>
    </xf>
    <xf numFmtId="0" fontId="2" fillId="0" borderId="0" xfId="0" applyFont="1" applyAlignment="1" applyProtection="1">
      <alignment wrapText="1"/>
      <protection hidden="1"/>
    </xf>
    <xf numFmtId="0" fontId="9" fillId="7" borderId="0" xfId="0" applyFont="1" applyFill="1" applyAlignment="1" applyProtection="1">
      <alignment horizontal="right"/>
      <protection hidden="1"/>
    </xf>
    <xf numFmtId="168" fontId="14" fillId="7" borderId="0" xfId="0" applyNumberFormat="1" applyFont="1" applyFill="1" applyProtection="1">
      <protection hidden="1"/>
    </xf>
    <xf numFmtId="168" fontId="9" fillId="7" borderId="0" xfId="2" applyNumberFormat="1" applyFont="1" applyFill="1" applyBorder="1" applyProtection="1">
      <protection hidden="1"/>
    </xf>
    <xf numFmtId="168" fontId="10" fillId="7" borderId="0" xfId="0" applyNumberFormat="1" applyFont="1" applyFill="1" applyAlignment="1" applyProtection="1">
      <alignment horizontal="center"/>
      <protection hidden="1"/>
    </xf>
    <xf numFmtId="169" fontId="9" fillId="7" borderId="0" xfId="2" applyNumberFormat="1" applyFont="1" applyFill="1" applyBorder="1" applyProtection="1">
      <protection hidden="1"/>
    </xf>
    <xf numFmtId="0" fontId="10" fillId="7" borderId="0" xfId="0" applyFont="1" applyFill="1" applyProtection="1">
      <protection locked="0"/>
    </xf>
    <xf numFmtId="0" fontId="15" fillId="7" borderId="0" xfId="0" applyFont="1" applyFill="1" applyProtection="1">
      <protection hidden="1"/>
    </xf>
    <xf numFmtId="0" fontId="16" fillId="7" borderId="0" xfId="0" applyFont="1" applyFill="1" applyProtection="1">
      <protection hidden="1"/>
    </xf>
    <xf numFmtId="0" fontId="17" fillId="7" borderId="0" xfId="0" applyFont="1" applyFill="1" applyProtection="1">
      <protection hidden="1"/>
    </xf>
    <xf numFmtId="168" fontId="17" fillId="7" borderId="0" xfId="0" applyNumberFormat="1" applyFont="1" applyFill="1" applyProtection="1">
      <protection hidden="1"/>
    </xf>
    <xf numFmtId="0" fontId="18" fillId="7" borderId="0" xfId="0" applyFont="1" applyFill="1" applyProtection="1">
      <protection hidden="1"/>
    </xf>
    <xf numFmtId="170" fontId="19" fillId="7" borderId="0" xfId="1" applyNumberFormat="1" applyFont="1" applyFill="1" applyBorder="1" applyProtection="1">
      <protection hidden="1"/>
    </xf>
    <xf numFmtId="0" fontId="14" fillId="7" borderId="0" xfId="0" applyFont="1" applyFill="1" applyProtection="1">
      <protection hidden="1"/>
    </xf>
    <xf numFmtId="0" fontId="9" fillId="7" borderId="12" xfId="0" applyFont="1" applyFill="1" applyBorder="1" applyAlignment="1" applyProtection="1">
      <alignment horizontal="left" vertical="center" wrapText="1"/>
      <protection hidden="1"/>
    </xf>
    <xf numFmtId="0" fontId="20" fillId="7" borderId="12" xfId="0" applyFont="1" applyFill="1" applyBorder="1" applyAlignment="1" applyProtection="1">
      <alignment horizontal="left" vertical="center"/>
      <protection hidden="1"/>
    </xf>
    <xf numFmtId="0" fontId="12" fillId="7" borderId="12" xfId="0" applyFont="1" applyFill="1" applyBorder="1" applyAlignment="1" applyProtection="1">
      <alignment horizontal="left" vertical="center" wrapText="1"/>
      <protection hidden="1"/>
    </xf>
    <xf numFmtId="0" fontId="23" fillId="7" borderId="12" xfId="0" applyFont="1" applyFill="1" applyBorder="1" applyAlignment="1" applyProtection="1">
      <alignment horizontal="left" vertical="center" wrapText="1"/>
      <protection hidden="1"/>
    </xf>
    <xf numFmtId="0" fontId="24" fillId="7" borderId="12" xfId="0" applyFont="1" applyFill="1" applyBorder="1" applyAlignment="1" applyProtection="1">
      <alignment horizontal="left" vertical="center" wrapText="1"/>
      <protection hidden="1"/>
    </xf>
    <xf numFmtId="0" fontId="29" fillId="7" borderId="0" xfId="0" applyFont="1" applyFill="1" applyProtection="1">
      <protection hidden="1"/>
    </xf>
    <xf numFmtId="10" fontId="31" fillId="7" borderId="12" xfId="0" quotePrefix="1" applyNumberFormat="1" applyFont="1" applyFill="1" applyBorder="1" applyProtection="1">
      <protection hidden="1"/>
    </xf>
    <xf numFmtId="10" fontId="32" fillId="7" borderId="12" xfId="0" applyNumberFormat="1" applyFont="1" applyFill="1" applyBorder="1" applyProtection="1">
      <protection hidden="1"/>
    </xf>
    <xf numFmtId="168" fontId="33" fillId="7" borderId="12" xfId="2" applyNumberFormat="1" applyFont="1" applyFill="1" applyBorder="1" applyProtection="1">
      <protection hidden="1"/>
    </xf>
    <xf numFmtId="168" fontId="34" fillId="7" borderId="12" xfId="2" applyNumberFormat="1" applyFont="1" applyFill="1" applyBorder="1" applyProtection="1">
      <protection hidden="1"/>
    </xf>
    <xf numFmtId="168" fontId="35" fillId="7" borderId="12" xfId="2" applyNumberFormat="1" applyFont="1" applyFill="1" applyBorder="1" applyProtection="1">
      <protection hidden="1"/>
    </xf>
    <xf numFmtId="0" fontId="36" fillId="7" borderId="0" xfId="0" applyFont="1" applyFill="1" applyProtection="1">
      <protection hidden="1"/>
    </xf>
    <xf numFmtId="0" fontId="30" fillId="7" borderId="20" xfId="0" applyFont="1" applyFill="1" applyBorder="1" applyProtection="1">
      <protection hidden="1"/>
    </xf>
    <xf numFmtId="9" fontId="30" fillId="7" borderId="20" xfId="3" applyFont="1" applyFill="1" applyBorder="1" applyProtection="1">
      <protection hidden="1"/>
    </xf>
    <xf numFmtId="0" fontId="7" fillId="7" borderId="17" xfId="0" applyFont="1" applyFill="1" applyBorder="1" applyProtection="1">
      <protection hidden="1"/>
    </xf>
    <xf numFmtId="10" fontId="37" fillId="7" borderId="18" xfId="0" applyNumberFormat="1" applyFont="1" applyFill="1" applyBorder="1" applyProtection="1">
      <protection hidden="1"/>
    </xf>
    <xf numFmtId="10" fontId="0" fillId="7" borderId="12" xfId="3" applyNumberFormat="1" applyFont="1" applyFill="1" applyBorder="1" applyProtection="1">
      <protection hidden="1"/>
    </xf>
    <xf numFmtId="9" fontId="12" fillId="7" borderId="12" xfId="3" applyFont="1" applyFill="1" applyBorder="1" applyProtection="1">
      <protection hidden="1"/>
    </xf>
    <xf numFmtId="44" fontId="12" fillId="7" borderId="12" xfId="0" applyNumberFormat="1" applyFont="1" applyFill="1" applyBorder="1" applyProtection="1">
      <protection hidden="1"/>
    </xf>
    <xf numFmtId="44" fontId="1" fillId="7" borderId="12" xfId="0" applyNumberFormat="1" applyFont="1" applyFill="1" applyBorder="1" applyProtection="1">
      <protection hidden="1"/>
    </xf>
    <xf numFmtId="44" fontId="24" fillId="7" borderId="12" xfId="0" applyNumberFormat="1" applyFont="1" applyFill="1" applyBorder="1" applyProtection="1">
      <protection hidden="1"/>
    </xf>
    <xf numFmtId="0" fontId="30" fillId="7" borderId="0" xfId="0" applyFont="1" applyFill="1" applyProtection="1">
      <protection hidden="1"/>
    </xf>
    <xf numFmtId="0" fontId="9" fillId="7" borderId="21" xfId="0" applyFont="1" applyFill="1" applyBorder="1" applyProtection="1">
      <protection hidden="1"/>
    </xf>
    <xf numFmtId="0" fontId="7" fillId="7" borderId="22" xfId="0" applyFont="1" applyFill="1" applyBorder="1" applyProtection="1">
      <protection hidden="1"/>
    </xf>
    <xf numFmtId="0" fontId="7" fillId="7" borderId="23" xfId="0" applyFont="1" applyFill="1" applyBorder="1" applyProtection="1">
      <protection hidden="1"/>
    </xf>
    <xf numFmtId="0" fontId="38" fillId="7" borderId="0" xfId="0" applyFont="1" applyFill="1" applyProtection="1">
      <protection hidden="1"/>
    </xf>
    <xf numFmtId="0" fontId="24" fillId="7" borderId="24" xfId="0" applyFont="1" applyFill="1" applyBorder="1" applyProtection="1">
      <protection hidden="1"/>
    </xf>
    <xf numFmtId="10" fontId="37" fillId="7" borderId="0" xfId="0" applyNumberFormat="1" applyFont="1" applyFill="1" applyProtection="1">
      <protection hidden="1"/>
    </xf>
    <xf numFmtId="10" fontId="0" fillId="7" borderId="0" xfId="3" applyNumberFormat="1" applyFont="1" applyFill="1" applyBorder="1" applyProtection="1">
      <protection hidden="1"/>
    </xf>
    <xf numFmtId="0" fontId="39" fillId="7" borderId="0" xfId="0" applyFont="1" applyFill="1" applyProtection="1">
      <protection hidden="1"/>
    </xf>
    <xf numFmtId="0" fontId="9" fillId="7" borderId="25" xfId="0" applyFont="1" applyFill="1" applyBorder="1" applyProtection="1">
      <protection hidden="1"/>
    </xf>
    <xf numFmtId="0" fontId="7" fillId="7" borderId="26" xfId="0" applyFont="1" applyFill="1" applyBorder="1" applyProtection="1">
      <protection hidden="1"/>
    </xf>
    <xf numFmtId="0" fontId="38" fillId="7" borderId="27" xfId="0" applyFont="1" applyFill="1" applyBorder="1" applyProtection="1">
      <protection hidden="1"/>
    </xf>
    <xf numFmtId="0" fontId="20" fillId="7" borderId="0" xfId="0" applyFont="1" applyFill="1" applyProtection="1">
      <protection hidden="1"/>
    </xf>
    <xf numFmtId="0" fontId="13" fillId="7" borderId="28" xfId="0" applyFont="1" applyFill="1" applyBorder="1" applyProtection="1">
      <protection hidden="1"/>
    </xf>
    <xf numFmtId="0" fontId="13" fillId="7" borderId="29" xfId="0" applyFont="1" applyFill="1" applyBorder="1" applyProtection="1">
      <protection hidden="1"/>
    </xf>
    <xf numFmtId="0" fontId="24" fillId="7" borderId="30" xfId="0" applyFont="1" applyFill="1" applyBorder="1" applyProtection="1">
      <protection hidden="1"/>
    </xf>
    <xf numFmtId="0" fontId="13" fillId="7" borderId="31" xfId="0" applyFont="1" applyFill="1" applyBorder="1" applyProtection="1">
      <protection hidden="1"/>
    </xf>
    <xf numFmtId="0" fontId="13" fillId="7" borderId="32" xfId="0" applyFont="1" applyFill="1" applyBorder="1" applyProtection="1">
      <protection hidden="1"/>
    </xf>
    <xf numFmtId="0" fontId="24" fillId="7" borderId="33" xfId="0" applyFont="1" applyFill="1" applyBorder="1" applyProtection="1">
      <protection hidden="1"/>
    </xf>
    <xf numFmtId="0" fontId="24" fillId="7" borderId="29" xfId="0" applyFont="1" applyFill="1" applyBorder="1" applyProtection="1">
      <protection hidden="1"/>
    </xf>
    <xf numFmtId="171" fontId="40" fillId="7" borderId="0" xfId="2" applyNumberFormat="1" applyFont="1" applyFill="1" applyBorder="1" applyProtection="1">
      <protection hidden="1"/>
    </xf>
    <xf numFmtId="0" fontId="38" fillId="7" borderId="20" xfId="0" applyFont="1" applyFill="1" applyBorder="1" applyProtection="1">
      <protection hidden="1"/>
    </xf>
    <xf numFmtId="0" fontId="38" fillId="7" borderId="34" xfId="0" applyFont="1" applyFill="1" applyBorder="1" applyProtection="1">
      <protection hidden="1"/>
    </xf>
    <xf numFmtId="168" fontId="30" fillId="7" borderId="35" xfId="0" applyNumberFormat="1" applyFont="1" applyFill="1" applyBorder="1" applyProtection="1">
      <protection hidden="1"/>
    </xf>
    <xf numFmtId="168" fontId="30" fillId="7" borderId="20" xfId="0" applyNumberFormat="1" applyFont="1" applyFill="1" applyBorder="1" applyProtection="1">
      <protection hidden="1"/>
    </xf>
    <xf numFmtId="168" fontId="30" fillId="7" borderId="36" xfId="0" applyNumberFormat="1" applyFont="1" applyFill="1" applyBorder="1" applyProtection="1">
      <protection hidden="1"/>
    </xf>
    <xf numFmtId="0" fontId="38" fillId="7" borderId="37" xfId="0" applyFont="1" applyFill="1" applyBorder="1" applyProtection="1">
      <protection hidden="1"/>
    </xf>
    <xf numFmtId="10" fontId="38" fillId="7" borderId="38" xfId="3" applyNumberFormat="1" applyFont="1" applyFill="1" applyBorder="1" applyProtection="1">
      <protection hidden="1"/>
    </xf>
    <xf numFmtId="0" fontId="38" fillId="7" borderId="39" xfId="0" applyFont="1" applyFill="1" applyBorder="1" applyProtection="1">
      <protection hidden="1"/>
    </xf>
    <xf numFmtId="44" fontId="40" fillId="7" borderId="0" xfId="2" applyFont="1" applyFill="1" applyBorder="1" applyProtection="1">
      <protection hidden="1"/>
    </xf>
    <xf numFmtId="44" fontId="11" fillId="7" borderId="0" xfId="0" applyNumberFormat="1" applyFont="1" applyFill="1" applyProtection="1">
      <protection hidden="1"/>
    </xf>
    <xf numFmtId="0" fontId="30" fillId="7" borderId="35" xfId="0" applyFont="1" applyFill="1" applyBorder="1" applyProtection="1">
      <protection hidden="1"/>
    </xf>
    <xf numFmtId="0" fontId="30" fillId="7" borderId="36" xfId="0" applyFont="1" applyFill="1" applyBorder="1" applyProtection="1">
      <protection hidden="1"/>
    </xf>
    <xf numFmtId="168" fontId="38" fillId="7" borderId="39" xfId="0" applyNumberFormat="1" applyFont="1" applyFill="1" applyBorder="1" applyProtection="1">
      <protection hidden="1"/>
    </xf>
    <xf numFmtId="0" fontId="11" fillId="7" borderId="41" xfId="0" applyFont="1" applyFill="1" applyBorder="1" applyAlignment="1" applyProtection="1">
      <alignment horizontal="right"/>
      <protection hidden="1"/>
    </xf>
    <xf numFmtId="44" fontId="11" fillId="7" borderId="41" xfId="0" applyNumberFormat="1" applyFont="1" applyFill="1" applyBorder="1" applyProtection="1">
      <protection hidden="1"/>
    </xf>
    <xf numFmtId="10" fontId="30" fillId="7" borderId="0" xfId="0" applyNumberFormat="1" applyFont="1" applyFill="1" applyProtection="1">
      <protection hidden="1"/>
    </xf>
    <xf numFmtId="0" fontId="30" fillId="7" borderId="42" xfId="0" applyFont="1" applyFill="1" applyBorder="1" applyProtection="1">
      <protection hidden="1"/>
    </xf>
    <xf numFmtId="0" fontId="30" fillId="7" borderId="43" xfId="0" applyFont="1" applyFill="1" applyBorder="1" applyProtection="1">
      <protection hidden="1"/>
    </xf>
    <xf numFmtId="0" fontId="30" fillId="7" borderId="44" xfId="0" applyFont="1" applyFill="1" applyBorder="1" applyProtection="1">
      <protection hidden="1"/>
    </xf>
    <xf numFmtId="0" fontId="38" fillId="7" borderId="45" xfId="0" applyFont="1" applyFill="1" applyBorder="1" applyProtection="1">
      <protection hidden="1"/>
    </xf>
    <xf numFmtId="10" fontId="41" fillId="7" borderId="0" xfId="0" applyNumberFormat="1" applyFont="1" applyFill="1" applyProtection="1">
      <protection hidden="1"/>
    </xf>
    <xf numFmtId="172" fontId="30" fillId="7" borderId="0" xfId="2" applyNumberFormat="1" applyFont="1" applyFill="1" applyBorder="1" applyProtection="1">
      <protection hidden="1"/>
    </xf>
    <xf numFmtId="0" fontId="1" fillId="7" borderId="0" xfId="0" applyFont="1" applyFill="1" applyProtection="1">
      <protection hidden="1"/>
    </xf>
    <xf numFmtId="0" fontId="30" fillId="7" borderId="12" xfId="0" applyFont="1" applyFill="1" applyBorder="1" applyProtection="1">
      <protection hidden="1"/>
    </xf>
    <xf numFmtId="168" fontId="30" fillId="7" borderId="0" xfId="0" applyNumberFormat="1" applyFont="1" applyFill="1" applyProtection="1">
      <protection hidden="1"/>
    </xf>
    <xf numFmtId="0" fontId="30" fillId="7" borderId="24" xfId="0" applyFont="1" applyFill="1" applyBorder="1" applyProtection="1">
      <protection hidden="1"/>
    </xf>
    <xf numFmtId="0" fontId="30" fillId="7" borderId="27" xfId="0" applyFont="1" applyFill="1" applyBorder="1" applyProtection="1">
      <protection hidden="1"/>
    </xf>
    <xf numFmtId="173" fontId="30" fillId="7" borderId="45" xfId="0" applyNumberFormat="1" applyFont="1" applyFill="1" applyBorder="1" applyProtection="1">
      <protection hidden="1"/>
    </xf>
    <xf numFmtId="0" fontId="30" fillId="7" borderId="47" xfId="0" applyFont="1" applyFill="1" applyBorder="1" applyProtection="1">
      <protection hidden="1"/>
    </xf>
    <xf numFmtId="0" fontId="18" fillId="7" borderId="19" xfId="0" applyFont="1" applyFill="1" applyBorder="1" applyProtection="1">
      <protection hidden="1"/>
    </xf>
    <xf numFmtId="0" fontId="18" fillId="7" borderId="19" xfId="0" applyFont="1" applyFill="1" applyBorder="1" applyProtection="1">
      <protection locked="0"/>
    </xf>
    <xf numFmtId="10" fontId="30" fillId="7" borderId="0" xfId="3" applyNumberFormat="1" applyFont="1" applyFill="1" applyBorder="1" applyProtection="1">
      <protection hidden="1"/>
    </xf>
    <xf numFmtId="0" fontId="7" fillId="7" borderId="0" xfId="0" applyFont="1" applyFill="1" applyAlignment="1" applyProtection="1">
      <alignment wrapText="1"/>
      <protection hidden="1"/>
    </xf>
    <xf numFmtId="0" fontId="43" fillId="7" borderId="0" xfId="0" applyFont="1" applyFill="1" applyProtection="1">
      <protection hidden="1"/>
    </xf>
    <xf numFmtId="170" fontId="44" fillId="7" borderId="0" xfId="1" applyNumberFormat="1" applyFont="1" applyFill="1" applyBorder="1" applyProtection="1">
      <protection hidden="1"/>
    </xf>
    <xf numFmtId="0" fontId="45" fillId="7" borderId="0" xfId="0" applyFont="1" applyFill="1" applyProtection="1">
      <protection hidden="1"/>
    </xf>
    <xf numFmtId="0" fontId="42" fillId="7" borderId="0" xfId="0" applyFont="1" applyFill="1" applyProtection="1">
      <protection hidden="1"/>
    </xf>
    <xf numFmtId="44" fontId="16" fillId="7" borderId="0" xfId="2" applyFont="1" applyFill="1" applyBorder="1" applyProtection="1">
      <protection hidden="1"/>
    </xf>
    <xf numFmtId="168" fontId="46" fillId="7" borderId="0" xfId="0" quotePrefix="1" applyNumberFormat="1" applyFont="1" applyFill="1" applyProtection="1">
      <protection hidden="1"/>
    </xf>
    <xf numFmtId="0" fontId="30" fillId="7" borderId="48" xfId="0" applyFont="1" applyFill="1" applyBorder="1" applyProtection="1">
      <protection hidden="1"/>
    </xf>
    <xf numFmtId="168" fontId="30" fillId="7" borderId="49" xfId="0" applyNumberFormat="1" applyFont="1" applyFill="1" applyBorder="1" applyProtection="1">
      <protection hidden="1"/>
    </xf>
    <xf numFmtId="0" fontId="30" fillId="7" borderId="50" xfId="0" applyFont="1" applyFill="1" applyBorder="1" applyProtection="1">
      <protection hidden="1"/>
    </xf>
    <xf numFmtId="168" fontId="30" fillId="7" borderId="51" xfId="0" applyNumberFormat="1" applyFont="1" applyFill="1" applyBorder="1" applyProtection="1">
      <protection hidden="1"/>
    </xf>
    <xf numFmtId="0" fontId="30" fillId="7" borderId="52" xfId="0" applyFont="1" applyFill="1" applyBorder="1" applyProtection="1">
      <protection hidden="1"/>
    </xf>
    <xf numFmtId="168" fontId="30" fillId="7" borderId="53" xfId="0" applyNumberFormat="1" applyFont="1" applyFill="1" applyBorder="1" applyProtection="1">
      <protection hidden="1"/>
    </xf>
    <xf numFmtId="170" fontId="53" fillId="7" borderId="0" xfId="1" applyNumberFormat="1" applyFont="1" applyFill="1" applyBorder="1" applyProtection="1">
      <protection hidden="1"/>
    </xf>
    <xf numFmtId="0" fontId="50" fillId="7" borderId="0" xfId="0" applyFont="1" applyFill="1" applyProtection="1">
      <protection hidden="1"/>
    </xf>
    <xf numFmtId="0" fontId="52" fillId="7" borderId="0" xfId="0" applyFont="1" applyFill="1" applyProtection="1">
      <protection hidden="1"/>
    </xf>
    <xf numFmtId="0" fontId="50" fillId="7" borderId="54" xfId="0" applyFont="1" applyFill="1" applyBorder="1" applyProtection="1">
      <protection hidden="1"/>
    </xf>
    <xf numFmtId="0" fontId="49" fillId="7" borderId="54" xfId="0" applyFont="1" applyFill="1" applyBorder="1" applyProtection="1">
      <protection hidden="1"/>
    </xf>
    <xf numFmtId="0" fontId="51" fillId="7" borderId="54" xfId="0" applyFont="1" applyFill="1" applyBorder="1" applyProtection="1">
      <protection hidden="1"/>
    </xf>
    <xf numFmtId="168" fontId="50" fillId="7" borderId="54" xfId="0" applyNumberFormat="1" applyFont="1" applyFill="1" applyBorder="1" applyProtection="1">
      <protection locked="0"/>
    </xf>
    <xf numFmtId="168" fontId="52" fillId="7" borderId="54" xfId="2" applyNumberFormat="1" applyFont="1" applyFill="1" applyBorder="1" applyProtection="1">
      <protection hidden="1"/>
    </xf>
    <xf numFmtId="44" fontId="52" fillId="7" borderId="54" xfId="2" applyFont="1" applyFill="1" applyBorder="1" applyProtection="1">
      <protection hidden="1"/>
    </xf>
    <xf numFmtId="0" fontId="54" fillId="7" borderId="46" xfId="0" applyFont="1" applyFill="1" applyBorder="1" applyProtection="1">
      <protection hidden="1"/>
    </xf>
    <xf numFmtId="0" fontId="56" fillId="7" borderId="46" xfId="0" applyFont="1" applyFill="1" applyBorder="1" applyProtection="1">
      <protection hidden="1"/>
    </xf>
    <xf numFmtId="0" fontId="11" fillId="7" borderId="40" xfId="0" applyFont="1" applyFill="1" applyBorder="1" applyProtection="1">
      <protection hidden="1"/>
    </xf>
    <xf numFmtId="0" fontId="16" fillId="7" borderId="56" xfId="0" applyFont="1" applyFill="1" applyBorder="1" applyProtection="1">
      <protection hidden="1"/>
    </xf>
    <xf numFmtId="2" fontId="11" fillId="7" borderId="56" xfId="0" applyNumberFormat="1" applyFont="1" applyFill="1" applyBorder="1" applyProtection="1">
      <protection hidden="1"/>
    </xf>
    <xf numFmtId="0" fontId="55" fillId="7" borderId="57" xfId="0" applyFont="1" applyFill="1" applyBorder="1" applyProtection="1">
      <protection hidden="1"/>
    </xf>
    <xf numFmtId="0" fontId="55" fillId="7" borderId="58" xfId="0" applyFont="1" applyFill="1" applyBorder="1" applyProtection="1">
      <protection hidden="1"/>
    </xf>
    <xf numFmtId="0" fontId="55" fillId="7" borderId="59" xfId="0" applyFont="1" applyFill="1" applyBorder="1" applyProtection="1">
      <protection hidden="1"/>
    </xf>
    <xf numFmtId="0" fontId="30" fillId="7" borderId="60" xfId="0" applyFont="1" applyFill="1" applyBorder="1" applyProtection="1">
      <protection hidden="1"/>
    </xf>
    <xf numFmtId="0" fontId="16" fillId="7" borderId="61" xfId="0" applyFont="1" applyFill="1" applyBorder="1" applyProtection="1">
      <protection hidden="1"/>
    </xf>
    <xf numFmtId="0" fontId="30" fillId="7" borderId="62" xfId="0" applyFont="1" applyFill="1" applyBorder="1" applyProtection="1">
      <protection hidden="1"/>
    </xf>
    <xf numFmtId="0" fontId="30" fillId="7" borderId="63" xfId="0" applyFont="1" applyFill="1" applyBorder="1" applyProtection="1">
      <protection hidden="1"/>
    </xf>
    <xf numFmtId="0" fontId="16" fillId="7" borderId="64" xfId="0" applyFont="1" applyFill="1" applyBorder="1" applyProtection="1">
      <protection hidden="1"/>
    </xf>
    <xf numFmtId="0" fontId="50" fillId="7" borderId="55" xfId="0" applyFont="1" applyFill="1" applyBorder="1" applyAlignment="1" applyProtection="1">
      <alignment horizontal="right"/>
      <protection hidden="1"/>
    </xf>
    <xf numFmtId="44" fontId="50" fillId="7" borderId="55" xfId="0" applyNumberFormat="1" applyFont="1" applyFill="1" applyBorder="1" applyProtection="1">
      <protection hidden="1"/>
    </xf>
    <xf numFmtId="0" fontId="36" fillId="7" borderId="65" xfId="0" applyFont="1" applyFill="1" applyBorder="1" applyAlignment="1" applyProtection="1">
      <alignment horizontal="right"/>
      <protection hidden="1"/>
    </xf>
    <xf numFmtId="44" fontId="36" fillId="7" borderId="65" xfId="0" applyNumberFormat="1" applyFont="1" applyFill="1" applyBorder="1" applyProtection="1">
      <protection hidden="1"/>
    </xf>
    <xf numFmtId="167" fontId="5" fillId="7" borderId="12" xfId="0" applyNumberFormat="1" applyFont="1" applyFill="1" applyBorder="1" applyAlignment="1">
      <alignment horizontal="center"/>
    </xf>
    <xf numFmtId="2" fontId="0" fillId="5" borderId="11" xfId="0" applyNumberFormat="1" applyFill="1" applyBorder="1" applyAlignment="1">
      <alignment horizontal="right"/>
    </xf>
    <xf numFmtId="1" fontId="0" fillId="5" borderId="10" xfId="0" applyNumberFormat="1" applyFill="1" applyBorder="1" applyAlignment="1">
      <alignment horizontal="right"/>
    </xf>
    <xf numFmtId="44" fontId="0" fillId="5" borderId="9" xfId="0" applyNumberFormat="1" applyFill="1" applyBorder="1" applyAlignment="1">
      <alignment horizontal="right"/>
    </xf>
    <xf numFmtId="0" fontId="0" fillId="6" borderId="0" xfId="0" applyFill="1"/>
    <xf numFmtId="0" fontId="1" fillId="6" borderId="0" xfId="0" applyFont="1" applyFill="1" applyAlignment="1">
      <alignment horizontal="right"/>
    </xf>
    <xf numFmtId="2" fontId="0" fillId="6" borderId="0" xfId="0" applyNumberFormat="1" applyFill="1"/>
    <xf numFmtId="44" fontId="0" fillId="6" borderId="0" xfId="0" applyNumberFormat="1" applyFill="1"/>
    <xf numFmtId="1" fontId="0" fillId="6" borderId="0" xfId="0" applyNumberFormat="1" applyFill="1"/>
    <xf numFmtId="0" fontId="58" fillId="0" borderId="0" xfId="0" applyFont="1"/>
    <xf numFmtId="0" fontId="60" fillId="9" borderId="17" xfId="0" applyFont="1" applyFill="1" applyBorder="1"/>
    <xf numFmtId="0" fontId="60" fillId="9" borderId="12" xfId="0" applyFont="1" applyFill="1" applyBorder="1"/>
    <xf numFmtId="167" fontId="60" fillId="9" borderId="12" xfId="0" applyNumberFormat="1" applyFont="1" applyFill="1" applyBorder="1" applyAlignment="1">
      <alignment horizontal="center"/>
    </xf>
    <xf numFmtId="0" fontId="61" fillId="0" borderId="12" xfId="0" applyFont="1" applyBorder="1"/>
    <xf numFmtId="0" fontId="61" fillId="0" borderId="12" xfId="0" applyFont="1" applyBorder="1" applyAlignment="1" applyProtection="1">
      <alignment horizontal="center"/>
      <protection locked="0"/>
    </xf>
    <xf numFmtId="0" fontId="61" fillId="0" borderId="0" xfId="0" applyFont="1"/>
    <xf numFmtId="0" fontId="61" fillId="0" borderId="0" xfId="0" applyFont="1" applyAlignment="1" applyProtection="1">
      <alignment horizontal="center"/>
      <protection locked="0"/>
    </xf>
    <xf numFmtId="167" fontId="61" fillId="0" borderId="0" xfId="0" applyNumberFormat="1" applyFont="1" applyAlignment="1">
      <alignment horizontal="center"/>
    </xf>
    <xf numFmtId="164" fontId="60" fillId="9" borderId="12" xfId="0" applyNumberFormat="1" applyFont="1" applyFill="1" applyBorder="1" applyAlignment="1">
      <alignment horizontal="center"/>
    </xf>
    <xf numFmtId="0" fontId="62" fillId="7" borderId="0" xfId="0" applyFont="1" applyFill="1"/>
    <xf numFmtId="10" fontId="62" fillId="7" borderId="0" xfId="0" applyNumberFormat="1" applyFont="1" applyFill="1"/>
    <xf numFmtId="173" fontId="61" fillId="0" borderId="12" xfId="0" applyNumberFormat="1" applyFont="1" applyBorder="1" applyAlignment="1">
      <alignment horizontal="left"/>
    </xf>
    <xf numFmtId="0" fontId="63" fillId="0" borderId="0" xfId="0" applyFont="1"/>
    <xf numFmtId="167" fontId="61" fillId="7" borderId="12" xfId="0" applyNumberFormat="1" applyFont="1" applyFill="1" applyBorder="1" applyAlignment="1" applyProtection="1">
      <alignment horizontal="center"/>
      <protection locked="0"/>
    </xf>
    <xf numFmtId="167" fontId="62" fillId="7" borderId="0" xfId="0" applyNumberFormat="1" applyFont="1" applyFill="1" applyAlignment="1" applyProtection="1">
      <alignment horizontal="center"/>
      <protection locked="0"/>
    </xf>
    <xf numFmtId="0" fontId="61" fillId="9" borderId="18" xfId="0" applyFont="1" applyFill="1" applyBorder="1"/>
    <xf numFmtId="167" fontId="62" fillId="0" borderId="0" xfId="0" applyNumberFormat="1" applyFont="1" applyAlignment="1">
      <alignment horizontal="center"/>
    </xf>
    <xf numFmtId="170" fontId="61" fillId="7" borderId="12" xfId="1" applyNumberFormat="1" applyFont="1" applyFill="1" applyBorder="1" applyAlignment="1" applyProtection="1">
      <alignment horizontal="center" vertical="center"/>
      <protection locked="0"/>
    </xf>
    <xf numFmtId="0" fontId="62" fillId="9" borderId="18" xfId="0" applyFont="1" applyFill="1" applyBorder="1"/>
    <xf numFmtId="0" fontId="61" fillId="7" borderId="12" xfId="0" applyFont="1" applyFill="1" applyBorder="1"/>
    <xf numFmtId="0" fontId="61" fillId="0" borderId="17" xfId="0" applyFont="1" applyBorder="1"/>
    <xf numFmtId="0" fontId="61" fillId="0" borderId="12" xfId="0" applyFont="1" applyBorder="1" applyAlignment="1" applyProtection="1">
      <alignment horizontal="center" vertical="center" wrapText="1"/>
      <protection locked="0"/>
    </xf>
    <xf numFmtId="0" fontId="61" fillId="0" borderId="12" xfId="0" applyFont="1" applyBorder="1" applyAlignment="1">
      <alignment horizontal="left"/>
    </xf>
    <xf numFmtId="0" fontId="60" fillId="7" borderId="0" xfId="0" applyFont="1" applyFill="1"/>
    <xf numFmtId="0" fontId="59" fillId="0" borderId="0" xfId="0" applyFont="1" applyAlignment="1">
      <alignment vertical="top" wrapText="1"/>
    </xf>
    <xf numFmtId="0" fontId="59" fillId="0" borderId="0" xfId="0" applyFont="1" applyAlignment="1">
      <alignment vertical="top"/>
    </xf>
    <xf numFmtId="0" fontId="57" fillId="0" borderId="0" xfId="0" applyFont="1" applyAlignment="1">
      <alignment horizontal="left" vertical="center" wrapText="1"/>
    </xf>
    <xf numFmtId="0" fontId="60" fillId="9" borderId="17" xfId="0" applyFont="1" applyFill="1" applyBorder="1"/>
    <xf numFmtId="0" fontId="60" fillId="9" borderId="18" xfId="0" applyFont="1" applyFill="1" applyBorder="1"/>
    <xf numFmtId="10" fontId="61" fillId="0" borderId="17" xfId="0" applyNumberFormat="1" applyFont="1" applyBorder="1" applyAlignment="1">
      <alignment horizontal="center"/>
    </xf>
    <xf numFmtId="0" fontId="61" fillId="0" borderId="18" xfId="0" applyFont="1" applyBorder="1"/>
    <xf numFmtId="0" fontId="50" fillId="7" borderId="54" xfId="0" applyFont="1" applyFill="1" applyBorder="1" applyAlignment="1" applyProtection="1">
      <alignment horizontal="left"/>
      <protection hidden="1"/>
    </xf>
    <xf numFmtId="10" fontId="30" fillId="7" borderId="12" xfId="3" applyNumberFormat="1" applyFont="1" applyFill="1" applyBorder="1" applyAlignment="1" applyProtection="1">
      <alignment horizontal="left"/>
      <protection hidden="1"/>
    </xf>
    <xf numFmtId="0" fontId="30" fillId="7" borderId="12" xfId="0" applyFont="1" applyFill="1" applyBorder="1" applyAlignment="1" applyProtection="1">
      <alignment horizontal="left"/>
      <protection hidden="1"/>
    </xf>
    <xf numFmtId="0" fontId="49" fillId="7" borderId="54" xfId="0" applyFont="1" applyFill="1" applyBorder="1" applyAlignment="1" applyProtection="1">
      <alignment horizontal="left"/>
      <protection hidden="1"/>
    </xf>
    <xf numFmtId="0" fontId="10" fillId="7" borderId="19" xfId="0" applyFont="1" applyFill="1" applyBorder="1" applyAlignment="1" applyProtection="1">
      <alignment horizontal="center"/>
      <protection hidden="1"/>
    </xf>
    <xf numFmtId="168" fontId="10" fillId="7" borderId="19" xfId="0" applyNumberFormat="1" applyFont="1" applyFill="1" applyBorder="1" applyAlignment="1" applyProtection="1">
      <alignment vertical="center"/>
      <protection locked="0"/>
    </xf>
    <xf numFmtId="0" fontId="9" fillId="7" borderId="12" xfId="0" applyFont="1" applyFill="1" applyBorder="1" applyAlignment="1" applyProtection="1">
      <alignment horizontal="left" vertical="center"/>
      <protection hidden="1"/>
    </xf>
  </cellXfs>
  <cellStyles count="4">
    <cellStyle name="Comma" xfId="1" builtinId="3"/>
    <cellStyle name="Currency" xfId="2" builtinId="4"/>
    <cellStyle name="Normal" xfId="0" builtinId="0"/>
    <cellStyle name="Percent" xfId="3" builtinId="5"/>
  </cellStyles>
  <dxfs count="14">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alignment horizontal="general" vertical="bottom" textRotation="0" wrapText="1" indent="0" justifyLastLine="0" shrinkToFit="0" readingOrder="0"/>
    </dxf>
  </dxfs>
  <tableStyles count="0" defaultTableStyle="TableStyleMedium2" defaultPivotStyle="PivotStyleLight16"/>
  <colors>
    <mruColors>
      <color rgb="FF003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105834</xdr:rowOff>
    </xdr:from>
    <xdr:to>
      <xdr:col>1</xdr:col>
      <xdr:colOff>1746252</xdr:colOff>
      <xdr:row>2</xdr:row>
      <xdr:rowOff>72075</xdr:rowOff>
    </xdr:to>
    <xdr:pic>
      <xdr:nvPicPr>
        <xdr:cNvPr id="4" name="Picture 3">
          <a:extLst>
            <a:ext uri="{FF2B5EF4-FFF2-40B4-BE49-F238E27FC236}">
              <a16:creationId xmlns:a16="http://schemas.microsoft.com/office/drawing/2014/main" id="{5910A5B3-6799-8E8F-0099-9BC51EB6A450}"/>
            </a:ext>
          </a:extLst>
        </xdr:cNvPr>
        <xdr:cNvPicPr>
          <a:picLocks noChangeAspect="1"/>
        </xdr:cNvPicPr>
      </xdr:nvPicPr>
      <xdr:blipFill>
        <a:blip xmlns:r="http://schemas.openxmlformats.org/officeDocument/2006/relationships" r:embed="rId1"/>
        <a:stretch>
          <a:fillRect/>
        </a:stretch>
      </xdr:blipFill>
      <xdr:spPr>
        <a:xfrm>
          <a:off x="190501" y="105834"/>
          <a:ext cx="1788584" cy="6541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h Proctor" id="{BC5F9A03-E7C4-40AF-B47B-A82A471890E1}" userId="S::leah.proctor@ecology.co.uk::5a97303b-618f-459d-a80d-baca21e741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316321-9B48-4523-9DCB-75DB0F3B99F2}" name="Table1" displayName="Table1" ref="A1:C22" totalsRowShown="0">
  <autoFilter ref="A1:C22" xr:uid="{B5316321-9B48-4523-9DCB-75DB0F3B99F2}">
    <filterColumn colId="0" hiddenButton="1"/>
    <filterColumn colId="1" hiddenButton="1"/>
    <filterColumn colId="2" hiddenButton="1"/>
  </autoFilter>
  <tableColumns count="3">
    <tableColumn id="1" xr3:uid="{CC35BDCD-ED40-46F2-AFBE-F9AD98860FD9}" name="Version"/>
    <tableColumn id="2" xr3:uid="{01DCB127-87F7-4835-9C63-F7D4A1F7CD1B}" name="Date of Go Live"/>
    <tableColumn id="3" xr3:uid="{A65BB69E-92AE-48A8-8BE1-D9E5721B1FB6}" name="Change" dataDxfId="1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4" dT="2025-03-05T16:40:53.50" personId="{BC5F9A03-E7C4-40AF-B47B-A82A471890E1}" id="{514CD097-E4BE-45AF-B8A4-3D6ED3E00FF3}">
    <text>OECD Equivalisation methodology: https://www.ons.gov.uk/peoplepopulationandcommunity/personalandhouseholdfinances/incomeandwealth/compendium/familyspending/2015/chapter3equivalisedincome</text>
    <extLst>
      <x:ext xmlns:xltc2="http://schemas.microsoft.com/office/spreadsheetml/2020/threadedcomments2" uri="{F7C98A9C-CBB3-438F-8F68-D28B6AF4A901}">
        <xltc2:checksum>634222999</xltc2:checksum>
        <xltc2:hyperlink startIndex="33" length="153" url="https://www.ons.gov.uk/peoplepopulationandcommunity/personalandhouseholdfinances/incomeandwealth/compendium/familyspending/2015/chapter3equivalisedincome"/>
      </x:ext>
    </extLst>
  </threadedComment>
  <threadedComment ref="K47" dT="2025-03-05T16:40:38.24" personId="{BC5F9A03-E7C4-40AF-B47B-A82A471890E1}" id="{513AB5C4-A842-4489-950B-6609BA177792}">
    <text>average household size: https://www.ons.gov.uk/peoplepopulationandcommunity/birthsdeathsandmarriages/families/bulletins/familiesandhouseholds/2022#:~:text=Households-,There%20were%20an%20estimated%2028.2%20million%20households%20in%20the%20UK,both%202012%20and%20in%202022.</text>
    <extLst>
      <x:ext xmlns:xltc2="http://schemas.microsoft.com/office/spreadsheetml/2020/threadedcomments2" uri="{F7C98A9C-CBB3-438F-8F68-D28B6AF4A901}">
        <xltc2:checksum>3286332996</xltc2:checksum>
        <xltc2:hyperlink startIndex="24" length="248" url="https://www.ons.gov.uk/peoplepopulationandcommunity/birthsdeathsandmarriages/families/bulletins/familiesandhouseholds/2022#:~:text=Households-,There%20were%20an%20estimated%2028.2%20million%20households%20in%20the%20UK,both%202012%20and%20in%202022"/>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1D42-16AE-472B-908B-031B146A963C}">
  <sheetPr codeName="Sheet1">
    <pageSetUpPr fitToPage="1"/>
  </sheetPr>
  <dimension ref="B2:J50"/>
  <sheetViews>
    <sheetView showGridLines="0" tabSelected="1" zoomScale="90" zoomScaleNormal="90" workbookViewId="0">
      <selection activeCell="E16" sqref="E16:J38"/>
    </sheetView>
  </sheetViews>
  <sheetFormatPr defaultColWidth="9.140625" defaultRowHeight="12.75" x14ac:dyDescent="0.2"/>
  <cols>
    <col min="1" max="1" width="3.42578125" style="43" customWidth="1"/>
    <col min="2" max="2" width="54.42578125" style="43" customWidth="1"/>
    <col min="3" max="3" width="33.5703125" style="43" customWidth="1"/>
    <col min="4" max="4" width="9.140625" style="43"/>
    <col min="5" max="5" width="13" style="43" customWidth="1"/>
    <col min="6" max="6" width="18.42578125" style="43" customWidth="1"/>
    <col min="7" max="7" width="9.140625" style="43"/>
    <col min="8" max="8" width="49.5703125" style="43" customWidth="1"/>
    <col min="9" max="9" width="15.85546875" style="43" customWidth="1"/>
    <col min="10" max="10" width="0.42578125" style="43" customWidth="1"/>
    <col min="11" max="16384" width="9.140625" style="43"/>
  </cols>
  <sheetData>
    <row r="2" spans="2:10" ht="42" customHeight="1" x14ac:dyDescent="0.2">
      <c r="C2" s="229"/>
      <c r="D2" s="229"/>
      <c r="E2" s="229"/>
      <c r="F2" s="229"/>
    </row>
    <row r="3" spans="2:10" ht="13.5" x14ac:dyDescent="0.25">
      <c r="C3" s="202"/>
    </row>
    <row r="4" spans="2:10" ht="15.75" x14ac:dyDescent="0.25">
      <c r="B4" s="215" t="s">
        <v>188</v>
      </c>
      <c r="C4" s="208"/>
    </row>
    <row r="5" spans="2:10" ht="20.100000000000001" customHeight="1" x14ac:dyDescent="0.25">
      <c r="B5" s="230" t="s">
        <v>42</v>
      </c>
      <c r="C5" s="231"/>
      <c r="E5" s="230" t="s">
        <v>46</v>
      </c>
      <c r="F5" s="231"/>
      <c r="G5" s="208"/>
      <c r="H5" s="204" t="s">
        <v>31</v>
      </c>
      <c r="I5" s="205" t="e">
        <f>'Affordability Assessment'!D26</f>
        <v>#DIV/0!</v>
      </c>
    </row>
    <row r="6" spans="2:10" ht="20.100000000000001" customHeight="1" x14ac:dyDescent="0.25">
      <c r="B6" s="206" t="s">
        <v>41</v>
      </c>
      <c r="C6" s="216">
        <v>0</v>
      </c>
      <c r="E6" s="206" t="s">
        <v>26</v>
      </c>
      <c r="F6" s="207">
        <v>30</v>
      </c>
      <c r="G6" s="208"/>
      <c r="H6" s="204" t="s">
        <v>20</v>
      </c>
      <c r="I6" s="205" t="e">
        <f>'Affordability Assessment'!D28</f>
        <v>#DIV/0!</v>
      </c>
    </row>
    <row r="7" spans="2:10" ht="34.5" customHeight="1" x14ac:dyDescent="0.25">
      <c r="B7" s="206" t="s">
        <v>48</v>
      </c>
      <c r="C7" s="224" t="s">
        <v>191</v>
      </c>
      <c r="E7" s="208"/>
      <c r="F7" s="209"/>
      <c r="G7" s="208"/>
      <c r="H7" s="208"/>
      <c r="I7" s="210"/>
    </row>
    <row r="8" spans="2:10" ht="20.100000000000001" customHeight="1" x14ac:dyDescent="0.25">
      <c r="B8" s="208"/>
      <c r="C8" s="208"/>
      <c r="E8" s="208"/>
      <c r="F8" s="208"/>
      <c r="G8" s="208"/>
      <c r="H8" s="208"/>
      <c r="I8" s="210"/>
    </row>
    <row r="9" spans="2:10" ht="20.100000000000001" customHeight="1" x14ac:dyDescent="0.25">
      <c r="B9" s="203" t="s">
        <v>43</v>
      </c>
      <c r="C9" s="218"/>
      <c r="E9" s="230" t="s">
        <v>47</v>
      </c>
      <c r="F9" s="231"/>
      <c r="G9" s="208"/>
      <c r="H9" s="204" t="s">
        <v>33</v>
      </c>
      <c r="I9" s="211">
        <f>'Amortisation Repayment'!E6</f>
        <v>0</v>
      </c>
    </row>
    <row r="10" spans="2:10" ht="20.100000000000001" customHeight="1" x14ac:dyDescent="0.25">
      <c r="B10" s="206" t="s">
        <v>28</v>
      </c>
      <c r="C10" s="216">
        <v>0</v>
      </c>
      <c r="E10" s="232">
        <f>VLOOKUP(C7,Lookups!$A$1:$B$11,2,FALSE)</f>
        <v>5.8900000000000001E-2</v>
      </c>
      <c r="F10" s="233"/>
      <c r="G10" s="208"/>
      <c r="H10" s="204" t="s">
        <v>32</v>
      </c>
      <c r="I10" s="211">
        <f>'Amortisation Repayment'!F6</f>
        <v>0</v>
      </c>
    </row>
    <row r="11" spans="2:10" ht="20.100000000000001" customHeight="1" x14ac:dyDescent="0.25">
      <c r="B11" s="206" t="s">
        <v>29</v>
      </c>
      <c r="C11" s="216">
        <v>0</v>
      </c>
      <c r="E11" s="208"/>
      <c r="F11" s="208"/>
      <c r="G11" s="208"/>
      <c r="H11" s="208"/>
      <c r="I11" s="208"/>
    </row>
    <row r="12" spans="2:10" ht="20.100000000000001" customHeight="1" x14ac:dyDescent="0.25">
      <c r="B12" s="206" t="s">
        <v>160</v>
      </c>
      <c r="C12" s="216">
        <v>0</v>
      </c>
      <c r="E12" s="226" t="s">
        <v>171</v>
      </c>
      <c r="F12" s="226"/>
      <c r="G12" s="208"/>
      <c r="H12" s="204" t="s">
        <v>174</v>
      </c>
      <c r="I12" s="225" t="e">
        <f>'Affordability Assessment'!F17</f>
        <v>#DIV/0!</v>
      </c>
    </row>
    <row r="13" spans="2:10" ht="20.100000000000001" customHeight="1" x14ac:dyDescent="0.25">
      <c r="B13" s="206" t="s">
        <v>161</v>
      </c>
      <c r="C13" s="216">
        <v>0</v>
      </c>
      <c r="E13" s="212" t="s">
        <v>172</v>
      </c>
      <c r="F13" s="213" t="s">
        <v>170</v>
      </c>
      <c r="G13" s="208"/>
      <c r="H13" s="204" t="s">
        <v>175</v>
      </c>
      <c r="I13" s="225" t="e">
        <f>'Affordability Assessment'!F18</f>
        <v>#DIV/0!</v>
      </c>
    </row>
    <row r="14" spans="2:10" ht="20.100000000000001" customHeight="1" x14ac:dyDescent="0.25">
      <c r="B14" s="208"/>
      <c r="C14" s="217" t="s">
        <v>183</v>
      </c>
      <c r="E14" s="208"/>
      <c r="F14" s="208"/>
      <c r="G14" s="208"/>
      <c r="H14" s="204" t="s">
        <v>186</v>
      </c>
      <c r="I14" s="214" t="e">
        <f>SUM(C6/C20)</f>
        <v>#DIV/0!</v>
      </c>
    </row>
    <row r="15" spans="2:10" ht="20.100000000000001" customHeight="1" x14ac:dyDescent="0.25">
      <c r="B15" s="203" t="s">
        <v>156</v>
      </c>
      <c r="C15" s="218"/>
      <c r="E15" s="208"/>
      <c r="F15" s="208"/>
      <c r="G15" s="208"/>
      <c r="H15" s="204" t="s">
        <v>185</v>
      </c>
      <c r="I15" s="214" t="e">
        <f>IF(I14&lt;5.5,"Pass", "Fail")</f>
        <v>#DIV/0!</v>
      </c>
    </row>
    <row r="16" spans="2:10" ht="20.100000000000001" customHeight="1" x14ac:dyDescent="0.25">
      <c r="B16" s="206" t="s">
        <v>28</v>
      </c>
      <c r="C16" s="216">
        <v>0</v>
      </c>
      <c r="E16" s="227" t="s">
        <v>184</v>
      </c>
      <c r="F16" s="228"/>
      <c r="G16" s="228"/>
      <c r="H16" s="228"/>
      <c r="I16" s="228"/>
      <c r="J16" s="228"/>
    </row>
    <row r="17" spans="2:10" ht="20.100000000000001" customHeight="1" x14ac:dyDescent="0.25">
      <c r="B17" s="206" t="s">
        <v>29</v>
      </c>
      <c r="C17" s="216">
        <v>0</v>
      </c>
      <c r="E17" s="228"/>
      <c r="F17" s="228"/>
      <c r="G17" s="228"/>
      <c r="H17" s="228"/>
      <c r="I17" s="228"/>
      <c r="J17" s="228"/>
    </row>
    <row r="18" spans="2:10" ht="20.100000000000001" customHeight="1" x14ac:dyDescent="0.25">
      <c r="B18" s="206" t="s">
        <v>160</v>
      </c>
      <c r="C18" s="216">
        <v>0</v>
      </c>
      <c r="E18" s="228"/>
      <c r="F18" s="228"/>
      <c r="G18" s="228"/>
      <c r="H18" s="228"/>
      <c r="I18" s="228"/>
      <c r="J18" s="228"/>
    </row>
    <row r="19" spans="2:10" ht="20.100000000000001" customHeight="1" x14ac:dyDescent="0.25">
      <c r="B19" s="206" t="s">
        <v>161</v>
      </c>
      <c r="C19" s="216">
        <v>0</v>
      </c>
      <c r="E19" s="228"/>
      <c r="F19" s="228"/>
      <c r="G19" s="228"/>
      <c r="H19" s="228"/>
      <c r="I19" s="228"/>
      <c r="J19" s="228"/>
    </row>
    <row r="20" spans="2:10" ht="20.100000000000001" customHeight="1" x14ac:dyDescent="0.25">
      <c r="B20" s="208"/>
      <c r="C20" s="219">
        <f>SUM(C16:C19)</f>
        <v>0</v>
      </c>
      <c r="E20" s="228"/>
      <c r="F20" s="228"/>
      <c r="G20" s="228"/>
      <c r="H20" s="228"/>
      <c r="I20" s="228"/>
      <c r="J20" s="228"/>
    </row>
    <row r="21" spans="2:10" ht="20.100000000000001" customHeight="1" x14ac:dyDescent="0.25">
      <c r="B21" s="203" t="s">
        <v>157</v>
      </c>
      <c r="C21" s="218"/>
      <c r="E21" s="228"/>
      <c r="F21" s="228"/>
      <c r="G21" s="228"/>
      <c r="H21" s="228"/>
      <c r="I21" s="228"/>
      <c r="J21" s="228"/>
    </row>
    <row r="22" spans="2:10" ht="20.100000000000001" customHeight="1" x14ac:dyDescent="0.25">
      <c r="B22" s="206" t="s">
        <v>158</v>
      </c>
      <c r="C22" s="220">
        <v>0</v>
      </c>
      <c r="E22" s="228"/>
      <c r="F22" s="228"/>
      <c r="G22" s="228"/>
      <c r="H22" s="228"/>
      <c r="I22" s="228"/>
      <c r="J22" s="228"/>
    </row>
    <row r="23" spans="2:10" ht="20.100000000000001" customHeight="1" x14ac:dyDescent="0.25">
      <c r="B23" s="206" t="s">
        <v>159</v>
      </c>
      <c r="C23" s="220">
        <v>0</v>
      </c>
      <c r="E23" s="228"/>
      <c r="F23" s="228"/>
      <c r="G23" s="228"/>
      <c r="H23" s="228"/>
      <c r="I23" s="228"/>
      <c r="J23" s="228"/>
    </row>
    <row r="24" spans="2:10" ht="20.100000000000001" customHeight="1" x14ac:dyDescent="0.25">
      <c r="B24" s="208"/>
      <c r="C24" s="208"/>
      <c r="E24" s="228"/>
      <c r="F24" s="228"/>
      <c r="G24" s="228"/>
      <c r="H24" s="228"/>
      <c r="I24" s="228"/>
      <c r="J24" s="228"/>
    </row>
    <row r="25" spans="2:10" ht="20.100000000000001" customHeight="1" x14ac:dyDescent="0.25">
      <c r="B25" s="203" t="s">
        <v>44</v>
      </c>
      <c r="C25" s="221"/>
      <c r="E25" s="228"/>
      <c r="F25" s="228"/>
      <c r="G25" s="228"/>
      <c r="H25" s="228"/>
      <c r="I25" s="228"/>
      <c r="J25" s="228"/>
    </row>
    <row r="26" spans="2:10" ht="20.100000000000001" customHeight="1" x14ac:dyDescent="0.25">
      <c r="B26" s="222" t="s">
        <v>35</v>
      </c>
      <c r="C26" s="216">
        <v>0</v>
      </c>
      <c r="E26" s="228"/>
      <c r="F26" s="228"/>
      <c r="G26" s="228"/>
      <c r="H26" s="228"/>
      <c r="I26" s="228"/>
      <c r="J26" s="228"/>
    </row>
    <row r="27" spans="2:10" ht="20.100000000000001" customHeight="1" x14ac:dyDescent="0.25">
      <c r="B27" s="222" t="s">
        <v>177</v>
      </c>
      <c r="C27" s="216">
        <v>0</v>
      </c>
      <c r="E27" s="228"/>
      <c r="F27" s="228"/>
      <c r="G27" s="228"/>
      <c r="H27" s="228"/>
      <c r="I27" s="228"/>
      <c r="J27" s="228"/>
    </row>
    <row r="28" spans="2:10" ht="20.100000000000001" customHeight="1" x14ac:dyDescent="0.25">
      <c r="B28" s="222" t="s">
        <v>187</v>
      </c>
      <c r="C28" s="216">
        <v>0</v>
      </c>
      <c r="E28" s="228"/>
      <c r="F28" s="228"/>
      <c r="G28" s="228"/>
      <c r="H28" s="228"/>
      <c r="I28" s="228"/>
      <c r="J28" s="228"/>
    </row>
    <row r="29" spans="2:10" ht="20.100000000000001" customHeight="1" x14ac:dyDescent="0.25">
      <c r="B29" s="206" t="s">
        <v>39</v>
      </c>
      <c r="C29" s="216">
        <v>0</v>
      </c>
      <c r="E29" s="228"/>
      <c r="F29" s="228"/>
      <c r="G29" s="228"/>
      <c r="H29" s="228"/>
      <c r="I29" s="228"/>
      <c r="J29" s="228"/>
    </row>
    <row r="30" spans="2:10" ht="20.100000000000001" customHeight="1" x14ac:dyDescent="0.25">
      <c r="B30" s="206" t="s">
        <v>36</v>
      </c>
      <c r="C30" s="216">
        <v>0</v>
      </c>
      <c r="E30" s="228"/>
      <c r="F30" s="228"/>
      <c r="G30" s="228"/>
      <c r="H30" s="228"/>
      <c r="I30" s="228"/>
      <c r="J30" s="228"/>
    </row>
    <row r="31" spans="2:10" ht="20.100000000000001" customHeight="1" x14ac:dyDescent="0.25">
      <c r="B31" s="206" t="s">
        <v>38</v>
      </c>
      <c r="C31" s="216">
        <v>0</v>
      </c>
      <c r="E31" s="228"/>
      <c r="F31" s="228"/>
      <c r="G31" s="228"/>
      <c r="H31" s="228"/>
      <c r="I31" s="228"/>
      <c r="J31" s="228"/>
    </row>
    <row r="32" spans="2:10" ht="20.100000000000001" customHeight="1" x14ac:dyDescent="0.25">
      <c r="B32" s="206" t="s">
        <v>37</v>
      </c>
      <c r="C32" s="216">
        <v>0</v>
      </c>
      <c r="E32" s="228"/>
      <c r="F32" s="228"/>
      <c r="G32" s="228"/>
      <c r="H32" s="228"/>
      <c r="I32" s="228"/>
      <c r="J32" s="228"/>
    </row>
    <row r="33" spans="2:10" ht="20.100000000000001" customHeight="1" x14ac:dyDescent="0.25">
      <c r="B33" s="206" t="s">
        <v>45</v>
      </c>
      <c r="C33" s="216">
        <v>0</v>
      </c>
      <c r="E33" s="228"/>
      <c r="F33" s="228"/>
      <c r="G33" s="228"/>
      <c r="H33" s="228"/>
      <c r="I33" s="228"/>
      <c r="J33" s="228"/>
    </row>
    <row r="34" spans="2:10" ht="20.100000000000001" customHeight="1" x14ac:dyDescent="0.25">
      <c r="B34" s="206" t="s">
        <v>34</v>
      </c>
      <c r="C34" s="216">
        <v>0</v>
      </c>
      <c r="E34" s="228"/>
      <c r="F34" s="228"/>
      <c r="G34" s="228"/>
      <c r="H34" s="228"/>
      <c r="I34" s="228"/>
      <c r="J34" s="228"/>
    </row>
    <row r="35" spans="2:10" ht="20.100000000000001" customHeight="1" x14ac:dyDescent="0.25">
      <c r="B35" s="223" t="s">
        <v>27</v>
      </c>
      <c r="C35" s="216">
        <v>0</v>
      </c>
      <c r="E35" s="228"/>
      <c r="F35" s="228"/>
      <c r="G35" s="228"/>
      <c r="H35" s="228"/>
      <c r="I35" s="228"/>
      <c r="J35" s="228"/>
    </row>
    <row r="36" spans="2:10" ht="15" hidden="1" customHeight="1" x14ac:dyDescent="0.25">
      <c r="B36" s="49" t="s">
        <v>168</v>
      </c>
      <c r="C36" s="51" t="s">
        <v>169</v>
      </c>
      <c r="E36" s="228"/>
      <c r="F36" s="228"/>
      <c r="G36" s="228"/>
      <c r="H36" s="228"/>
      <c r="I36" s="228"/>
      <c r="J36" s="228"/>
    </row>
    <row r="37" spans="2:10" ht="15" hidden="1" customHeight="1" x14ac:dyDescent="0.25">
      <c r="B37" s="46"/>
      <c r="C37" s="193">
        <f>Model!I22</f>
        <v>435.15880566927785</v>
      </c>
      <c r="E37" s="228"/>
      <c r="F37" s="228"/>
      <c r="G37" s="228"/>
      <c r="H37" s="228"/>
      <c r="I37" s="228"/>
      <c r="J37" s="228"/>
    </row>
    <row r="38" spans="2:10" ht="15" hidden="1" customHeight="1" x14ac:dyDescent="0.25">
      <c r="B38" s="50" t="s">
        <v>181</v>
      </c>
      <c r="C38" s="51" t="s">
        <v>40</v>
      </c>
      <c r="E38" s="228"/>
      <c r="F38" s="228"/>
      <c r="G38" s="228"/>
      <c r="H38" s="228"/>
      <c r="I38" s="228"/>
      <c r="J38" s="228"/>
    </row>
    <row r="39" spans="2:10" ht="15" hidden="1" x14ac:dyDescent="0.25">
      <c r="B39" s="48"/>
      <c r="C39" s="47">
        <f>SUM(C26:C35)</f>
        <v>0</v>
      </c>
    </row>
    <row r="40" spans="2:10" hidden="1" x14ac:dyDescent="0.2"/>
    <row r="41" spans="2:10" hidden="1" x14ac:dyDescent="0.2">
      <c r="C41" s="44"/>
    </row>
    <row r="42" spans="2:10" hidden="1" x14ac:dyDescent="0.2">
      <c r="B42" s="43" t="s">
        <v>182</v>
      </c>
      <c r="C42" s="44">
        <f>SUM(C37+C39)</f>
        <v>435.15880566927785</v>
      </c>
    </row>
    <row r="43" spans="2:10" hidden="1" x14ac:dyDescent="0.2">
      <c r="B43" s="43" t="s">
        <v>30</v>
      </c>
      <c r="C43" s="44">
        <f>SUM(C10+C11+C12+C13)</f>
        <v>0</v>
      </c>
    </row>
    <row r="44" spans="2:10" hidden="1" x14ac:dyDescent="0.2"/>
    <row r="45" spans="2:10" ht="12.75" hidden="1" customHeight="1" x14ac:dyDescent="0.2">
      <c r="C45" s="44"/>
    </row>
    <row r="46" spans="2:10" ht="12.75" hidden="1" customHeight="1" x14ac:dyDescent="0.2"/>
    <row r="47" spans="2:10" ht="13.5" customHeight="1" x14ac:dyDescent="0.2"/>
    <row r="50" spans="7:7" ht="17.25" customHeight="1" x14ac:dyDescent="0.2">
      <c r="G50" s="45"/>
    </row>
  </sheetData>
  <sheetProtection sheet="1" objects="1" scenarios="1"/>
  <dataConsolidate/>
  <mergeCells count="7">
    <mergeCell ref="E12:F12"/>
    <mergeCell ref="E16:J38"/>
    <mergeCell ref="C2:F2"/>
    <mergeCell ref="B5:C5"/>
    <mergeCell ref="E5:F5"/>
    <mergeCell ref="E9:F9"/>
    <mergeCell ref="E10:F10"/>
  </mergeCells>
  <conditionalFormatting sqref="I5">
    <cfRule type="containsErrors" priority="15" stopIfTrue="1">
      <formula>ISERROR(I5)</formula>
    </cfRule>
  </conditionalFormatting>
  <conditionalFormatting sqref="I12:I13">
    <cfRule type="cellIs" dxfId="12" priority="10" operator="equal">
      <formula>"Fail"</formula>
    </cfRule>
    <cfRule type="cellIs" dxfId="11" priority="11" operator="equal">
      <formula>"Refer"</formula>
    </cfRule>
    <cfRule type="cellIs" dxfId="10" priority="12" operator="equal">
      <formula>"Pass"</formula>
    </cfRule>
  </conditionalFormatting>
  <conditionalFormatting sqref="I14">
    <cfRule type="cellIs" dxfId="9" priority="3" operator="lessThan">
      <formula>Pass</formula>
    </cfRule>
    <cfRule type="cellIs" dxfId="8" priority="5" operator="greaterThan">
      <formula>5.5</formula>
    </cfRule>
    <cfRule type="cellIs" dxfId="7" priority="6" operator="lessThan">
      <formula>5.5</formula>
    </cfRule>
  </conditionalFormatting>
  <conditionalFormatting sqref="I15">
    <cfRule type="containsText" dxfId="6" priority="1" operator="containsText" text="Fail">
      <formula>NOT(ISERROR(SEARCH("Fail",I15)))</formula>
    </cfRule>
    <cfRule type="containsText" dxfId="5" priority="2" operator="containsText" text="Pass">
      <formula>NOT(ISERROR(SEARCH("Pass",I15)))</formula>
    </cfRule>
  </conditionalFormatting>
  <dataValidations count="1">
    <dataValidation type="list" allowBlank="1" showInputMessage="1" showErrorMessage="1" sqref="F6:F7" xr:uid="{7FB90709-6154-4E79-9D04-2CE511390DB2}">
      <formula1>"1,2,3,4,5,6,7,8,9,10,11,12,13,14,15,16,17,18,19,20,21,22,23,24,25,26,27,28,29,30"</formula1>
    </dataValidation>
  </dataValidations>
  <pageMargins left="0.7" right="0.7" top="0.75" bottom="0.75" header="0.3" footer="0.3"/>
  <pageSetup paperSize="9" scale="7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6A0E737-A94B-41BE-BEAB-F44B1F93FB39}">
          <x14:formula1>
            <xm:f>Lookups!$A$14</xm:f>
          </x14:formula1>
          <xm:sqref>F13</xm:sqref>
        </x14:dataValidation>
        <x14:dataValidation type="list" allowBlank="1" showInputMessage="1" showErrorMessage="1" xr:uid="{66CE75A2-542E-494D-9CAC-86D0B52ECBA4}">
          <x14:formula1>
            <xm:f>Lookups!$B$20:$B$24</xm:f>
          </x14:formula1>
          <xm:sqref>C22:C23</xm:sqref>
        </x14:dataValidation>
        <x14:dataValidation type="list" allowBlank="1" showInputMessage="1" showErrorMessage="1" xr:uid="{CA8AD6D3-4CBB-4387-9276-82895BE55FCE}">
          <x14:formula1>
            <xm:f>Lookups!$A$1:$A$11</xm:f>
          </x14:formula1>
          <xm:sqref>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29BC-8743-41BE-90A0-8954226E8BC3}">
  <sheetPr codeName="Sheet4"/>
  <dimension ref="B1:H39"/>
  <sheetViews>
    <sheetView workbookViewId="0">
      <selection activeCell="F53" sqref="F53"/>
    </sheetView>
  </sheetViews>
  <sheetFormatPr defaultColWidth="9.140625" defaultRowHeight="12.75" x14ac:dyDescent="0.2"/>
  <cols>
    <col min="1" max="1" width="1.5703125" style="2" customWidth="1"/>
    <col min="2" max="2" width="2.85546875" style="2" customWidth="1"/>
    <col min="3" max="3" width="27.5703125" style="2" customWidth="1"/>
    <col min="4" max="4" width="15.42578125" style="11" bestFit="1" customWidth="1"/>
    <col min="5" max="5" width="9.140625" style="2" hidden="1" customWidth="1"/>
    <col min="6" max="6" width="18.42578125" style="2" customWidth="1"/>
    <col min="7" max="7" width="2.5703125" style="2" customWidth="1"/>
    <col min="8" max="8" width="4.85546875" style="2" customWidth="1"/>
    <col min="9" max="16384" width="9.140625" style="2"/>
  </cols>
  <sheetData>
    <row r="1" spans="2:7" ht="13.5" thickBot="1" x14ac:dyDescent="0.25"/>
    <row r="2" spans="2:7" ht="13.5" thickBot="1" x14ac:dyDescent="0.25">
      <c r="B2" s="3"/>
      <c r="C2" s="4"/>
      <c r="D2" s="25"/>
      <c r="E2" s="4"/>
      <c r="F2" s="4"/>
      <c r="G2" s="5"/>
    </row>
    <row r="3" spans="2:7" x14ac:dyDescent="0.2">
      <c r="B3" s="7"/>
      <c r="C3" s="1" t="s">
        <v>15</v>
      </c>
      <c r="D3" s="196">
        <f>'Affordability Calculator'!C6</f>
        <v>0</v>
      </c>
      <c r="E3" s="1"/>
      <c r="F3" s="1"/>
      <c r="G3" s="6"/>
    </row>
    <row r="4" spans="2:7" x14ac:dyDescent="0.2">
      <c r="B4" s="7"/>
      <c r="C4" s="26" t="s">
        <v>18</v>
      </c>
      <c r="D4" s="195">
        <f>'Affordability Calculator'!F6</f>
        <v>30</v>
      </c>
      <c r="E4" s="1">
        <f>SUM(D4*12)</f>
        <v>360</v>
      </c>
      <c r="F4" s="1"/>
      <c r="G4" s="6"/>
    </row>
    <row r="5" spans="2:7" ht="13.5" thickBot="1" x14ac:dyDescent="0.25">
      <c r="B5" s="7"/>
      <c r="C5" s="26" t="s">
        <v>19</v>
      </c>
      <c r="D5" s="194">
        <f>('Affordability Calculator'!E10*100)+Lookups!B17</f>
        <v>7.64</v>
      </c>
      <c r="E5" s="40">
        <f>D5/100</f>
        <v>7.6399999999999996E-2</v>
      </c>
      <c r="F5" s="1"/>
      <c r="G5" s="6"/>
    </row>
    <row r="6" spans="2:7" x14ac:dyDescent="0.2">
      <c r="B6" s="7"/>
      <c r="C6" s="1"/>
      <c r="D6" s="32"/>
      <c r="E6" s="1"/>
      <c r="F6" s="1"/>
      <c r="G6" s="6"/>
    </row>
    <row r="7" spans="2:7" x14ac:dyDescent="0.2">
      <c r="B7" s="7"/>
      <c r="C7" s="1" t="s">
        <v>14</v>
      </c>
      <c r="D7" s="19">
        <f>'Affordability Calculator'!C43</f>
        <v>0</v>
      </c>
      <c r="E7" s="1"/>
      <c r="F7" s="1"/>
      <c r="G7" s="6"/>
    </row>
    <row r="8" spans="2:7" x14ac:dyDescent="0.2">
      <c r="B8" s="7"/>
      <c r="C8" s="1" t="s">
        <v>13</v>
      </c>
      <c r="D8" s="19">
        <f>'Affordability Calculator'!C42</f>
        <v>435.15880566927785</v>
      </c>
      <c r="E8" s="1"/>
      <c r="F8" s="1"/>
      <c r="G8" s="6"/>
    </row>
    <row r="9" spans="2:7" x14ac:dyDescent="0.2">
      <c r="B9" s="7"/>
      <c r="C9" s="1" t="s">
        <v>12</v>
      </c>
      <c r="D9" s="20">
        <f>SUM(D7-D8)</f>
        <v>-435.15880566927785</v>
      </c>
      <c r="E9" s="1"/>
      <c r="F9" s="1"/>
      <c r="G9" s="6"/>
    </row>
    <row r="10" spans="2:7" x14ac:dyDescent="0.2">
      <c r="B10" s="7"/>
      <c r="C10" s="1"/>
      <c r="D10" s="38"/>
      <c r="E10" s="1"/>
      <c r="F10" s="1"/>
      <c r="G10" s="6"/>
    </row>
    <row r="11" spans="2:7" x14ac:dyDescent="0.2">
      <c r="B11" s="7"/>
      <c r="C11" s="1" t="s">
        <v>11</v>
      </c>
      <c r="D11" s="20">
        <f>SUM(D9)</f>
        <v>-435.15880566927785</v>
      </c>
      <c r="E11" s="1"/>
      <c r="F11" s="1"/>
      <c r="G11" s="6"/>
    </row>
    <row r="12" spans="2:7" x14ac:dyDescent="0.2">
      <c r="B12" s="7"/>
      <c r="C12" s="1"/>
      <c r="D12" s="39"/>
      <c r="E12" s="1"/>
      <c r="F12" s="1"/>
      <c r="G12" s="6"/>
    </row>
    <row r="13" spans="2:7" x14ac:dyDescent="0.2">
      <c r="B13" s="7"/>
      <c r="C13" s="1"/>
      <c r="D13" s="39"/>
      <c r="E13" s="1"/>
      <c r="F13" s="1"/>
      <c r="G13" s="6"/>
    </row>
    <row r="14" spans="2:7" x14ac:dyDescent="0.2">
      <c r="B14" s="7"/>
      <c r="C14" s="26" t="s">
        <v>21</v>
      </c>
      <c r="D14" s="20">
        <f>Amortisation!E6</f>
        <v>0</v>
      </c>
      <c r="E14" s="1"/>
      <c r="F14" s="1"/>
      <c r="G14" s="6"/>
    </row>
    <row r="15" spans="2:7" x14ac:dyDescent="0.2">
      <c r="B15" s="7"/>
      <c r="C15" s="26" t="s">
        <v>22</v>
      </c>
      <c r="D15" s="20">
        <f>Amortisation!F6</f>
        <v>0</v>
      </c>
      <c r="E15" s="1"/>
      <c r="F15" s="1"/>
      <c r="G15" s="6"/>
    </row>
    <row r="16" spans="2:7" x14ac:dyDescent="0.2">
      <c r="B16" s="7"/>
      <c r="C16" s="1"/>
      <c r="D16" s="32"/>
      <c r="E16" s="1"/>
      <c r="F16" s="1"/>
      <c r="G16" s="6"/>
    </row>
    <row r="17" spans="2:8" x14ac:dyDescent="0.2">
      <c r="B17" s="7"/>
      <c r="C17" s="1" t="s">
        <v>10</v>
      </c>
      <c r="D17" s="41" t="e">
        <f>SUM(D11/D14)*100</f>
        <v>#DIV/0!</v>
      </c>
      <c r="E17" s="22"/>
      <c r="F17" s="23" t="e">
        <f>IF(D17&gt;=99.999999,"Pass",IF(D17&gt;=94.999999, "Refer","Fail"))</f>
        <v>#DIV/0!</v>
      </c>
      <c r="G17" s="27"/>
      <c r="H17" s="24"/>
    </row>
    <row r="18" spans="2:8" x14ac:dyDescent="0.2">
      <c r="B18" s="7"/>
      <c r="C18" s="1" t="s">
        <v>9</v>
      </c>
      <c r="D18" s="41" t="e">
        <f>SUM(D11/D15)*100</f>
        <v>#DIV/0!</v>
      </c>
      <c r="E18" s="22"/>
      <c r="F18" s="23" t="e">
        <f>IF(D18&gt;=99.999999,"Pass",IF(D18&gt;=94.999999, "Refer","Fail"))</f>
        <v>#DIV/0!</v>
      </c>
      <c r="G18" s="27"/>
      <c r="H18" s="24"/>
    </row>
    <row r="19" spans="2:8" x14ac:dyDescent="0.2">
      <c r="B19" s="7"/>
      <c r="C19" s="1"/>
      <c r="G19" s="6"/>
    </row>
    <row r="20" spans="2:8" x14ac:dyDescent="0.2">
      <c r="B20" s="7"/>
      <c r="C20" s="13" t="s">
        <v>23</v>
      </c>
      <c r="D20" s="28" t="e">
        <f>SUM(D3*D17)/100</f>
        <v>#DIV/0!</v>
      </c>
      <c r="E20" s="2">
        <v>2</v>
      </c>
      <c r="F20" s="29"/>
      <c r="G20" s="30"/>
      <c r="H20" s="29"/>
    </row>
    <row r="21" spans="2:8" x14ac:dyDescent="0.2">
      <c r="B21" s="7"/>
      <c r="C21" s="1"/>
      <c r="D21" s="28"/>
      <c r="F21" s="29"/>
      <c r="G21" s="30"/>
      <c r="H21" s="29"/>
    </row>
    <row r="22" spans="2:8" x14ac:dyDescent="0.2">
      <c r="B22" s="7"/>
      <c r="C22" s="13" t="s">
        <v>20</v>
      </c>
      <c r="D22" s="28" t="e">
        <f>SUM(D3*D18)/100</f>
        <v>#DIV/0!</v>
      </c>
      <c r="E22" s="2">
        <v>2</v>
      </c>
      <c r="F22" s="29"/>
      <c r="G22" s="30"/>
      <c r="H22" s="29"/>
    </row>
    <row r="23" spans="2:8" x14ac:dyDescent="0.2">
      <c r="B23" s="7"/>
      <c r="G23" s="6"/>
    </row>
    <row r="24" spans="2:8" x14ac:dyDescent="0.2">
      <c r="B24" s="7"/>
      <c r="G24" s="6"/>
    </row>
    <row r="25" spans="2:8" ht="13.5" thickBot="1" x14ac:dyDescent="0.25">
      <c r="B25" s="7"/>
      <c r="G25" s="6"/>
    </row>
    <row r="26" spans="2:8" ht="13.5" thickBot="1" x14ac:dyDescent="0.25">
      <c r="B26" s="7"/>
      <c r="C26" s="33" t="s">
        <v>24</v>
      </c>
      <c r="D26" s="34" t="e">
        <f>MAX(0,ROUNDDOWN(D20,E20))</f>
        <v>#DIV/0!</v>
      </c>
      <c r="E26" s="28"/>
      <c r="G26" s="6"/>
    </row>
    <row r="27" spans="2:8" ht="13.5" thickBot="1" x14ac:dyDescent="0.25">
      <c r="B27" s="7"/>
      <c r="C27" s="1"/>
      <c r="D27" s="1"/>
      <c r="E27" s="28"/>
      <c r="G27" s="6"/>
    </row>
    <row r="28" spans="2:8" ht="13.5" thickBot="1" x14ac:dyDescent="0.25">
      <c r="B28" s="7"/>
      <c r="C28" s="33" t="s">
        <v>25</v>
      </c>
      <c r="D28" s="34" t="e">
        <f>MAX(0,ROUNDDOWN(D22,E22))</f>
        <v>#DIV/0!</v>
      </c>
      <c r="E28" s="28"/>
      <c r="G28" s="6"/>
    </row>
    <row r="29" spans="2:8" ht="13.5" thickBot="1" x14ac:dyDescent="0.25">
      <c r="B29" s="8"/>
      <c r="C29" s="9"/>
      <c r="D29" s="31"/>
      <c r="E29" s="9"/>
      <c r="F29" s="9"/>
      <c r="G29" s="10"/>
    </row>
    <row r="33" spans="6:6" x14ac:dyDescent="0.2">
      <c r="F33" s="11"/>
    </row>
    <row r="34" spans="6:6" x14ac:dyDescent="0.2">
      <c r="F34" s="11"/>
    </row>
    <row r="35" spans="6:6" x14ac:dyDescent="0.2">
      <c r="F35" s="11"/>
    </row>
    <row r="36" spans="6:6" x14ac:dyDescent="0.2">
      <c r="F36" s="11"/>
    </row>
    <row r="37" spans="6:6" x14ac:dyDescent="0.2">
      <c r="F37" s="11"/>
    </row>
    <row r="38" spans="6:6" x14ac:dyDescent="0.2">
      <c r="F38" s="11"/>
    </row>
    <row r="39" spans="6:6" x14ac:dyDescent="0.2">
      <c r="F39" s="11"/>
    </row>
  </sheetData>
  <conditionalFormatting sqref="D17:D18">
    <cfRule type="cellIs" dxfId="4" priority="32" stopIfTrue="1" operator="lessThan">
      <formula>100</formula>
    </cfRule>
    <cfRule type="cellIs" dxfId="3" priority="33" stopIfTrue="1" operator="greaterThanOrEqual">
      <formula>100</formula>
    </cfRule>
  </conditionalFormatting>
  <conditionalFormatting sqref="E17">
    <cfRule type="expression" dxfId="2" priority="40" stopIfTrue="1">
      <formula>"IF$B$15&gt;100=""Pass"""</formula>
    </cfRule>
  </conditionalFormatting>
  <conditionalFormatting sqref="F17:H18">
    <cfRule type="cellIs" dxfId="1" priority="10" stopIfTrue="1" operator="equal">
      <formula>"Fail"</formula>
    </cfRule>
    <cfRule type="cellIs" dxfId="0" priority="11" stopIfTrue="1" operator="equal">
      <formula>"Pass"</formula>
    </cfRule>
  </conditionalFormatting>
  <pageMargins left="0.7" right="0.7" top="0.75" bottom="0.75" header="0.3" footer="0.3"/>
  <pageSetup paperSize="9" orientation="portrait" r:id="rId1"/>
  <ignoredErrors>
    <ignoredError sqref="D14:F16 E18 E17" evalError="1"/>
    <ignoredError sqref="E4"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E4D3-63BB-4EB9-94AC-E727AED3DC45}">
  <dimension ref="B1:X121"/>
  <sheetViews>
    <sheetView zoomScale="85" zoomScaleNormal="85" workbookViewId="0">
      <selection activeCell="F60" sqref="F60"/>
    </sheetView>
  </sheetViews>
  <sheetFormatPr defaultColWidth="9.85546875" defaultRowHeight="12.75" x14ac:dyDescent="0.2"/>
  <cols>
    <col min="1" max="1" width="9.85546875" style="60"/>
    <col min="2" max="2" width="43.140625" style="60" customWidth="1"/>
    <col min="3" max="3" width="12" style="60" customWidth="1"/>
    <col min="4" max="4" width="11.28515625" style="60" customWidth="1"/>
    <col min="5" max="5" width="14.85546875" style="60" customWidth="1"/>
    <col min="6" max="6" width="50.42578125" style="60" customWidth="1"/>
    <col min="7" max="7" width="35.28515625" style="60" customWidth="1"/>
    <col min="8" max="8" width="27.5703125" style="60" customWidth="1"/>
    <col min="9" max="9" width="39.28515625" style="60" customWidth="1"/>
    <col min="10" max="10" width="36.85546875" style="60" customWidth="1"/>
    <col min="11" max="11" width="20.42578125" style="60" customWidth="1"/>
    <col min="12" max="12" width="34.42578125" style="60" customWidth="1"/>
    <col min="13" max="13" width="22.5703125" style="60" customWidth="1"/>
    <col min="14" max="14" width="24.28515625" style="60" bestFit="1" customWidth="1"/>
    <col min="15" max="15" width="27.85546875" style="60" bestFit="1" customWidth="1"/>
    <col min="16" max="16" width="24.5703125" style="60" bestFit="1" customWidth="1"/>
    <col min="17" max="17" width="20.42578125" style="60" bestFit="1" customWidth="1"/>
    <col min="18" max="18" width="20.7109375" style="60" bestFit="1" customWidth="1"/>
    <col min="19" max="19" width="16.42578125" style="60" bestFit="1" customWidth="1"/>
    <col min="20" max="20" width="9.85546875" style="60"/>
    <col min="21" max="21" width="0" style="60" hidden="1" customWidth="1"/>
    <col min="22" max="23" width="9.85546875" style="60"/>
    <col min="24" max="24" width="0" style="60" hidden="1" customWidth="1"/>
    <col min="25" max="16384" width="9.85546875" style="60"/>
  </cols>
  <sheetData>
    <row r="1" spans="2:24" ht="26.25" x14ac:dyDescent="0.4">
      <c r="B1" s="57" t="s">
        <v>58</v>
      </c>
      <c r="C1" s="58" t="s">
        <v>59</v>
      </c>
      <c r="D1" s="58" t="s">
        <v>60</v>
      </c>
      <c r="E1" s="59"/>
      <c r="J1" s="61" t="s">
        <v>61</v>
      </c>
    </row>
    <row r="2" spans="2:24" x14ac:dyDescent="0.2">
      <c r="J2" s="62" t="s">
        <v>62</v>
      </c>
      <c r="X2" s="60" t="b">
        <v>1</v>
      </c>
    </row>
    <row r="3" spans="2:24" ht="15.75" customHeight="1" x14ac:dyDescent="0.2">
      <c r="D3" s="238" t="str">
        <f>K39</f>
        <v>TotalUsableApplicationIncome</v>
      </c>
      <c r="E3" s="238"/>
      <c r="F3" s="63" t="s">
        <v>63</v>
      </c>
      <c r="H3" s="64" t="s">
        <v>64</v>
      </c>
      <c r="I3" s="63"/>
      <c r="J3" s="65" t="s">
        <v>65</v>
      </c>
      <c r="U3" s="66" t="s">
        <v>66</v>
      </c>
      <c r="X3" s="60" t="b">
        <v>0</v>
      </c>
    </row>
    <row r="4" spans="2:24" ht="15.75" customHeight="1" x14ac:dyDescent="0.2">
      <c r="B4" s="67" t="s">
        <v>67</v>
      </c>
      <c r="C4" s="58" t="s">
        <v>59</v>
      </c>
      <c r="D4" s="239">
        <f>SUM('Affordability Calculator'!C16:C19)</f>
        <v>0</v>
      </c>
      <c r="E4" s="239"/>
      <c r="F4" s="68">
        <f>D4/52</f>
        <v>0</v>
      </c>
      <c r="H4" s="69">
        <f>D4/12</f>
        <v>0</v>
      </c>
      <c r="I4" s="68"/>
      <c r="U4" s="66" t="s">
        <v>68</v>
      </c>
    </row>
    <row r="5" spans="2:24" ht="15.75" customHeight="1" x14ac:dyDescent="0.2">
      <c r="B5" s="67"/>
      <c r="C5" s="58"/>
      <c r="D5" s="70"/>
      <c r="E5" s="70"/>
      <c r="F5" s="71"/>
      <c r="G5" s="71"/>
      <c r="H5" s="68"/>
      <c r="I5" s="68"/>
    </row>
    <row r="6" spans="2:24" x14ac:dyDescent="0.2">
      <c r="E6" s="61" t="s">
        <v>69</v>
      </c>
      <c r="F6" s="72" t="b">
        <v>0</v>
      </c>
      <c r="H6" s="73" t="s">
        <v>70</v>
      </c>
    </row>
    <row r="7" spans="2:24" x14ac:dyDescent="0.2">
      <c r="B7" s="74"/>
      <c r="C7" s="75"/>
      <c r="D7" s="75"/>
      <c r="E7" s="75"/>
      <c r="F7" s="75"/>
      <c r="G7" s="75"/>
      <c r="H7" s="76"/>
      <c r="I7" s="75"/>
      <c r="J7" s="77" t="s">
        <v>71</v>
      </c>
    </row>
    <row r="8" spans="2:24" ht="15" x14ac:dyDescent="0.25">
      <c r="B8" s="78" t="s">
        <v>72</v>
      </c>
      <c r="F8" s="79"/>
      <c r="G8" s="79"/>
      <c r="J8" s="77" t="s">
        <v>73</v>
      </c>
    </row>
    <row r="9" spans="2:24" s="85" customFormat="1" ht="59.25" x14ac:dyDescent="0.2">
      <c r="B9" s="240" t="s">
        <v>74</v>
      </c>
      <c r="C9" s="240"/>
      <c r="D9" s="80" t="s">
        <v>75</v>
      </c>
      <c r="E9" s="81" t="s">
        <v>162</v>
      </c>
      <c r="F9" s="82" t="s">
        <v>76</v>
      </c>
      <c r="G9" s="83" t="s">
        <v>77</v>
      </c>
      <c r="H9" s="84" t="s">
        <v>78</v>
      </c>
      <c r="I9" s="83" t="s">
        <v>79</v>
      </c>
      <c r="J9" s="77" t="s">
        <v>80</v>
      </c>
      <c r="K9" s="60"/>
      <c r="L9" s="60"/>
      <c r="M9" s="60"/>
      <c r="N9" s="60"/>
      <c r="O9" s="60"/>
      <c r="P9" s="60"/>
      <c r="Q9" s="60"/>
      <c r="R9" s="60"/>
      <c r="S9" s="60"/>
      <c r="T9" s="60"/>
      <c r="U9" s="60"/>
    </row>
    <row r="10" spans="2:24" ht="15" customHeight="1" x14ac:dyDescent="0.2">
      <c r="B10" s="235" t="str">
        <f t="shared" ref="B10:B18" si="0">J25</f>
        <v>Food &amp; non-alcoholic drinks</v>
      </c>
      <c r="C10" s="235"/>
      <c r="D10" s="86" t="s">
        <v>81</v>
      </c>
      <c r="E10" s="87" t="e">
        <f>H10/$H$4</f>
        <v>#DIV/0!</v>
      </c>
      <c r="F10" s="88">
        <f>IF($D$4&lt;=$K$41,N25+($D$4-$K$40)*(O25-N25)/($K$41-$K$40),O25+($D$4-$K$41)*(P25-O25)/($K$42-$K$41))</f>
        <v>44.548843705637225</v>
      </c>
      <c r="G10" s="89">
        <f>(((F10*52)/12)/$K$47)*scaling_factor_total</f>
        <v>122.69808647739069</v>
      </c>
      <c r="H10" s="90">
        <f t="shared" ref="H10:H21" si="1">IF($F$6=TRUE,G10*R25,G10)</f>
        <v>122.69808647739069</v>
      </c>
      <c r="I10" s="89">
        <f>G10*$K$18</f>
        <v>129.44648123364718</v>
      </c>
    </row>
    <row r="11" spans="2:24" ht="15" customHeight="1" x14ac:dyDescent="0.2">
      <c r="B11" s="235" t="str">
        <f t="shared" si="0"/>
        <v>Alcoholic drinks, tobacco &amp; narcotics</v>
      </c>
      <c r="C11" s="235"/>
      <c r="D11" s="86" t="s">
        <v>81</v>
      </c>
      <c r="E11" s="87" t="e">
        <f t="shared" ref="E11:E21" si="2">H11/$H$4</f>
        <v>#DIV/0!</v>
      </c>
      <c r="F11" s="88">
        <f>IF($D$4&lt;=$K$41,N26+($D$4-$K$40)*(O26-N26)/($K$41-$K$40),O26+($D$4-$K$41)*(P26-O26)/($K$42-$K$41))</f>
        <v>4.1861382057974996</v>
      </c>
      <c r="G11" s="89">
        <f>(((F11*52)/12)/$K$47)*scaling_factor_total</f>
        <v>11.529617939696504</v>
      </c>
      <c r="H11" s="90">
        <f>IF($F$6=TRUE,G11*R26,G11)</f>
        <v>11.529617939696504</v>
      </c>
      <c r="I11" s="89">
        <f t="shared" ref="I11:I20" si="3">G11*$K$18</f>
        <v>12.16374692637981</v>
      </c>
    </row>
    <row r="12" spans="2:24" ht="15" customHeight="1" x14ac:dyDescent="0.2">
      <c r="B12" s="235" t="str">
        <f t="shared" si="0"/>
        <v>Clothing &amp; footwear</v>
      </c>
      <c r="C12" s="235"/>
      <c r="D12" s="86" t="s">
        <v>81</v>
      </c>
      <c r="E12" s="87" t="e">
        <f t="shared" si="2"/>
        <v>#DIV/0!</v>
      </c>
      <c r="F12" s="88">
        <f t="shared" ref="F12:F21" si="4">IF($D$4&lt;=$K$41,N27+($D$4-$K$40)*(O27-N27)/($K$41-$K$40),O27+($D$4-$K$41)*(P27-O27)/($K$42-$K$41))</f>
        <v>5.0272977057288086</v>
      </c>
      <c r="G12" s="89">
        <f t="shared" ref="G12:G18" si="5">(((F12*52)/12)/$K$47)*scaling_factor_total</f>
        <v>13.846370799676805</v>
      </c>
      <c r="H12" s="90">
        <f t="shared" si="1"/>
        <v>13.846370799676805</v>
      </c>
      <c r="I12" s="89">
        <f t="shared" si="3"/>
        <v>14.607921193659028</v>
      </c>
      <c r="J12" s="91" t="s">
        <v>82</v>
      </c>
    </row>
    <row r="13" spans="2:24" ht="15" customHeight="1" x14ac:dyDescent="0.2">
      <c r="B13" s="235" t="str">
        <f t="shared" si="0"/>
        <v>Housing (excl. rent), fuel &amp; power</v>
      </c>
      <c r="C13" s="235"/>
      <c r="D13" s="86" t="s">
        <v>81</v>
      </c>
      <c r="E13" s="87" t="e">
        <f t="shared" si="2"/>
        <v>#DIV/0!</v>
      </c>
      <c r="F13" s="88">
        <f t="shared" si="4"/>
        <v>38.881375646837945</v>
      </c>
      <c r="G13" s="89">
        <f t="shared" si="5"/>
        <v>107.08853462052824</v>
      </c>
      <c r="H13" s="90">
        <f t="shared" si="1"/>
        <v>107.08853462052824</v>
      </c>
      <c r="I13" s="89">
        <f t="shared" si="3"/>
        <v>112.97840402465728</v>
      </c>
      <c r="J13" s="91" t="s">
        <v>83</v>
      </c>
    </row>
    <row r="14" spans="2:24" ht="15" customHeight="1" thickBot="1" x14ac:dyDescent="0.25">
      <c r="B14" s="235" t="str">
        <f t="shared" si="0"/>
        <v>Household goods &amp; services</v>
      </c>
      <c r="C14" s="235"/>
      <c r="D14" s="86" t="s">
        <v>81</v>
      </c>
      <c r="E14" s="87" t="e">
        <f>H14/$H$4</f>
        <v>#DIV/0!</v>
      </c>
      <c r="F14" s="88">
        <f t="shared" si="4"/>
        <v>8.0000457938361436</v>
      </c>
      <c r="G14" s="89">
        <f t="shared" si="5"/>
        <v>22.034024432175816</v>
      </c>
      <c r="H14" s="90">
        <f t="shared" si="1"/>
        <v>22.034024432175816</v>
      </c>
      <c r="I14" s="89">
        <f t="shared" si="3"/>
        <v>23.245895775945485</v>
      </c>
      <c r="J14" s="91" t="s">
        <v>84</v>
      </c>
    </row>
    <row r="15" spans="2:24" ht="15" customHeight="1" thickBot="1" x14ac:dyDescent="0.25">
      <c r="B15" s="235" t="str">
        <f t="shared" si="0"/>
        <v>Health</v>
      </c>
      <c r="C15" s="235"/>
      <c r="D15" s="86" t="s">
        <v>81</v>
      </c>
      <c r="E15" s="87" t="e">
        <f t="shared" si="2"/>
        <v>#DIV/0!</v>
      </c>
      <c r="F15" s="88">
        <f t="shared" si="4"/>
        <v>0.99413244551751401</v>
      </c>
      <c r="G15" s="89">
        <f>(((F15*52)/12)/$K$47)*scaling_factor_total</f>
        <v>2.7380766507897638</v>
      </c>
      <c r="H15" s="90">
        <f t="shared" si="1"/>
        <v>2.7380766507897638</v>
      </c>
      <c r="I15" s="89">
        <f t="shared" si="3"/>
        <v>2.8886708665832006</v>
      </c>
      <c r="J15" s="114" t="s">
        <v>165</v>
      </c>
      <c r="K15" s="115" t="s">
        <v>166</v>
      </c>
    </row>
    <row r="16" spans="2:24" ht="15" customHeight="1" x14ac:dyDescent="0.2">
      <c r="B16" s="235" t="str">
        <f t="shared" si="0"/>
        <v>Transport</v>
      </c>
      <c r="C16" s="235"/>
      <c r="D16" s="86" t="s">
        <v>81</v>
      </c>
      <c r="E16" s="87" t="e">
        <f t="shared" si="2"/>
        <v>#DIV/0!</v>
      </c>
      <c r="F16" s="88">
        <f t="shared" si="4"/>
        <v>2.1996199111599601</v>
      </c>
      <c r="G16" s="89">
        <f t="shared" si="5"/>
        <v>6.058275179042262</v>
      </c>
      <c r="H16" s="90">
        <f t="shared" si="1"/>
        <v>6.058275179042262</v>
      </c>
      <c r="I16" s="89">
        <f t="shared" si="3"/>
        <v>6.3914803138895859</v>
      </c>
      <c r="J16" s="92" t="s">
        <v>85</v>
      </c>
      <c r="K16" s="93">
        <v>0.03</v>
      </c>
    </row>
    <row r="17" spans="2:19" ht="15" customHeight="1" x14ac:dyDescent="0.2">
      <c r="B17" s="235" t="str">
        <f t="shared" si="0"/>
        <v>Communication</v>
      </c>
      <c r="C17" s="235"/>
      <c r="D17" s="86" t="s">
        <v>81</v>
      </c>
      <c r="E17" s="87" t="e">
        <f t="shared" si="2"/>
        <v>#DIV/0!</v>
      </c>
      <c r="F17" s="88">
        <f t="shared" si="4"/>
        <v>11.124421852818616</v>
      </c>
      <c r="G17" s="89">
        <f t="shared" si="5"/>
        <v>30.639297475983476</v>
      </c>
      <c r="H17" s="90">
        <f t="shared" si="1"/>
        <v>30.639297475983476</v>
      </c>
      <c r="I17" s="89">
        <f t="shared" si="3"/>
        <v>32.324458837162567</v>
      </c>
      <c r="J17" s="92" t="s">
        <v>86</v>
      </c>
      <c r="K17" s="93">
        <v>2.5000000000000001E-2</v>
      </c>
    </row>
    <row r="18" spans="2:19" ht="15" customHeight="1" x14ac:dyDescent="0.2">
      <c r="B18" s="236" t="str">
        <f t="shared" si="0"/>
        <v>Recreation &amp; culture</v>
      </c>
      <c r="C18" s="236"/>
      <c r="D18" s="86" t="s">
        <v>81</v>
      </c>
      <c r="E18" s="87" t="e">
        <f t="shared" si="2"/>
        <v>#DIV/0!</v>
      </c>
      <c r="F18" s="88">
        <f t="shared" si="4"/>
        <v>8.2464853230755253</v>
      </c>
      <c r="G18" s="89">
        <f t="shared" si="5"/>
        <v>22.712777372877508</v>
      </c>
      <c r="H18" s="90">
        <f t="shared" si="1"/>
        <v>22.712777372877508</v>
      </c>
      <c r="I18" s="89">
        <f t="shared" si="3"/>
        <v>23.961980128385768</v>
      </c>
      <c r="J18" s="92" t="s">
        <v>164</v>
      </c>
      <c r="K18" s="93">
        <v>1.0549999999999999</v>
      </c>
    </row>
    <row r="19" spans="2:19" ht="15" customHeight="1" x14ac:dyDescent="0.2">
      <c r="B19" s="236" t="str">
        <f>J34</f>
        <v>Personal Care</v>
      </c>
      <c r="C19" s="236"/>
      <c r="D19" s="86" t="s">
        <v>81</v>
      </c>
      <c r="E19" s="87" t="e">
        <f t="shared" si="2"/>
        <v>#DIV/0!</v>
      </c>
      <c r="F19" s="88">
        <f t="shared" si="4"/>
        <v>3.6478545587763875</v>
      </c>
      <c r="G19" s="89">
        <f t="shared" ref="G19:G20" si="6">(((F19*52)/12)/$K$47)*scaling_factor_total</f>
        <v>10.04705704747734</v>
      </c>
      <c r="H19" s="90">
        <f t="shared" si="1"/>
        <v>10.04705704747734</v>
      </c>
      <c r="I19" s="89">
        <f t="shared" si="3"/>
        <v>10.599645185088592</v>
      </c>
      <c r="J19" s="92" t="s">
        <v>89</v>
      </c>
      <c r="K19" s="93">
        <v>0.05</v>
      </c>
    </row>
    <row r="20" spans="2:19" ht="15" customHeight="1" x14ac:dyDescent="0.2">
      <c r="B20" s="236" t="str">
        <f>J35</f>
        <v>Insurance</v>
      </c>
      <c r="C20" s="236"/>
      <c r="D20" s="86" t="s">
        <v>81</v>
      </c>
      <c r="E20" s="87" t="e">
        <f t="shared" si="2"/>
        <v>#DIV/0!</v>
      </c>
      <c r="F20" s="88">
        <f t="shared" si="4"/>
        <v>10.28948573522004</v>
      </c>
      <c r="G20" s="89">
        <f t="shared" si="6"/>
        <v>28.339685287682315</v>
      </c>
      <c r="H20" s="90">
        <f t="shared" si="1"/>
        <v>28.339685287682315</v>
      </c>
      <c r="I20" s="89">
        <f t="shared" si="3"/>
        <v>29.89836797850484</v>
      </c>
      <c r="J20" s="92" t="s">
        <v>91</v>
      </c>
      <c r="K20" s="93">
        <v>0.05</v>
      </c>
    </row>
    <row r="21" spans="2:19" ht="15" customHeight="1" thickBot="1" x14ac:dyDescent="0.25">
      <c r="B21" s="236" t="str">
        <f>J36</f>
        <v>Council Tax</v>
      </c>
      <c r="C21" s="236"/>
      <c r="D21" s="86" t="s">
        <v>81</v>
      </c>
      <c r="E21" s="87" t="e">
        <f t="shared" si="2"/>
        <v>#DIV/0!</v>
      </c>
      <c r="F21" s="88">
        <f t="shared" si="4"/>
        <v>12.097641617438294</v>
      </c>
      <c r="G21" s="89">
        <f t="shared" ref="G21" si="7">(((F21*52)/12)/$K$47)*scaling_factor_total</f>
        <v>33.319775641249535</v>
      </c>
      <c r="H21" s="90">
        <f t="shared" si="1"/>
        <v>33.319775641249535</v>
      </c>
      <c r="I21" s="89">
        <f>G21*$K$21</f>
        <v>36.65175320537449</v>
      </c>
      <c r="J21" s="92" t="s">
        <v>163</v>
      </c>
      <c r="K21" s="93">
        <f>SUM(K19:K20)+100%</f>
        <v>1.1000000000000001</v>
      </c>
      <c r="N21" s="64" t="s">
        <v>92</v>
      </c>
      <c r="R21" s="64" t="s">
        <v>93</v>
      </c>
    </row>
    <row r="22" spans="2:19" x14ac:dyDescent="0.2">
      <c r="B22" s="94" t="s">
        <v>87</v>
      </c>
      <c r="C22" s="95"/>
      <c r="D22" s="96"/>
      <c r="E22" s="97" t="e">
        <f>SUM(E10:E21)</f>
        <v>#DIV/0!</v>
      </c>
      <c r="F22" s="98">
        <f>SUM(F10:F21)</f>
        <v>149.24334250184393</v>
      </c>
      <c r="G22" s="99">
        <f>SUM(G10:G21)</f>
        <v>411.05157892457021</v>
      </c>
      <c r="H22" s="100">
        <f>SUM(H10:H21)</f>
        <v>411.05157892457021</v>
      </c>
      <c r="I22" s="99">
        <f>SUM(I10:I21)</f>
        <v>435.15880566927785</v>
      </c>
      <c r="K22" s="101"/>
      <c r="N22" s="102" t="s">
        <v>94</v>
      </c>
      <c r="O22" s="103"/>
      <c r="P22" s="104"/>
      <c r="Q22" s="105"/>
      <c r="R22" s="106" t="s">
        <v>95</v>
      </c>
      <c r="S22" s="105"/>
    </row>
    <row r="23" spans="2:19" ht="15.75" thickBot="1" x14ac:dyDescent="0.3">
      <c r="B23" s="78"/>
      <c r="C23" s="107"/>
      <c r="D23" s="108"/>
      <c r="E23" s="109"/>
      <c r="F23" s="79"/>
      <c r="G23" s="79"/>
      <c r="J23" s="101"/>
      <c r="K23" s="101"/>
      <c r="L23" s="101"/>
      <c r="M23" s="101"/>
      <c r="N23" s="110"/>
      <c r="P23" s="111"/>
      <c r="Q23" s="105"/>
      <c r="R23" s="112"/>
      <c r="S23" s="105"/>
    </row>
    <row r="24" spans="2:19" ht="15.75" thickBot="1" x14ac:dyDescent="0.3">
      <c r="B24" s="167" t="s">
        <v>96</v>
      </c>
      <c r="C24" s="168"/>
      <c r="D24" s="168"/>
      <c r="E24" s="169"/>
      <c r="F24" s="168"/>
      <c r="G24" s="168"/>
      <c r="H24" s="168"/>
      <c r="I24" s="113"/>
      <c r="J24" s="114" t="s">
        <v>74</v>
      </c>
      <c r="K24" s="115" t="s">
        <v>97</v>
      </c>
      <c r="L24" s="115" t="s">
        <v>98</v>
      </c>
      <c r="M24" s="116" t="s">
        <v>99</v>
      </c>
      <c r="N24" s="117" t="s">
        <v>100</v>
      </c>
      <c r="O24" s="114" t="s">
        <v>101</v>
      </c>
      <c r="P24" s="118" t="s">
        <v>102</v>
      </c>
      <c r="Q24" s="116" t="s">
        <v>103</v>
      </c>
      <c r="R24" s="119" t="s">
        <v>104</v>
      </c>
      <c r="S24" s="120" t="s">
        <v>105</v>
      </c>
    </row>
    <row r="25" spans="2:19" x14ac:dyDescent="0.2">
      <c r="B25" s="237" t="s">
        <v>74</v>
      </c>
      <c r="C25" s="237"/>
      <c r="D25" s="170"/>
      <c r="E25" s="171" t="s">
        <v>106</v>
      </c>
      <c r="F25" s="172" t="s">
        <v>107</v>
      </c>
      <c r="G25" s="172"/>
      <c r="H25" s="172" t="s">
        <v>108</v>
      </c>
      <c r="I25" s="121"/>
      <c r="J25" s="92" t="s">
        <v>109</v>
      </c>
      <c r="K25" s="122" t="s">
        <v>110</v>
      </c>
      <c r="L25" s="92" t="s">
        <v>111</v>
      </c>
      <c r="M25" s="123" t="s">
        <v>112</v>
      </c>
      <c r="N25" s="124">
        <v>56</v>
      </c>
      <c r="O25" s="125">
        <v>65.099999999999994</v>
      </c>
      <c r="P25" s="126">
        <v>70.150000000000006</v>
      </c>
      <c r="Q25" s="127" t="b">
        <v>1</v>
      </c>
      <c r="R25" s="128">
        <v>1</v>
      </c>
      <c r="S25" s="129"/>
    </row>
    <row r="26" spans="2:19" x14ac:dyDescent="0.2">
      <c r="B26" s="234" t="s">
        <v>113</v>
      </c>
      <c r="C26" s="234"/>
      <c r="D26" s="170"/>
      <c r="E26" s="173">
        <v>0</v>
      </c>
      <c r="F26" s="174">
        <f t="shared" ref="F26:F32" si="8">(E26*12)/52</f>
        <v>0</v>
      </c>
      <c r="G26" s="175"/>
      <c r="H26" s="174">
        <f t="shared" ref="H26:H32" si="9">E26</f>
        <v>0</v>
      </c>
      <c r="I26" s="130"/>
      <c r="J26" s="92" t="s">
        <v>114</v>
      </c>
      <c r="K26" s="122" t="s">
        <v>110</v>
      </c>
      <c r="L26" s="92" t="s">
        <v>111</v>
      </c>
      <c r="M26" s="123" t="s">
        <v>112</v>
      </c>
      <c r="N26" s="124">
        <v>8.15</v>
      </c>
      <c r="O26" s="125">
        <v>11.3</v>
      </c>
      <c r="P26" s="126">
        <v>13.15</v>
      </c>
      <c r="Q26" s="127" t="b">
        <v>1</v>
      </c>
      <c r="R26" s="128">
        <v>1</v>
      </c>
      <c r="S26" s="129"/>
    </row>
    <row r="27" spans="2:19" x14ac:dyDescent="0.2">
      <c r="B27" s="234" t="s">
        <v>115</v>
      </c>
      <c r="C27" s="234"/>
      <c r="D27" s="170"/>
      <c r="E27" s="173">
        <v>0</v>
      </c>
      <c r="F27" s="174">
        <f t="shared" si="8"/>
        <v>0</v>
      </c>
      <c r="G27" s="175"/>
      <c r="H27" s="174">
        <f t="shared" si="9"/>
        <v>0</v>
      </c>
      <c r="I27" s="130"/>
      <c r="J27" s="92" t="s">
        <v>116</v>
      </c>
      <c r="K27" s="122" t="s">
        <v>110</v>
      </c>
      <c r="L27" s="92" t="s">
        <v>117</v>
      </c>
      <c r="M27" s="123" t="s">
        <v>112</v>
      </c>
      <c r="N27" s="124">
        <v>12.2</v>
      </c>
      <c r="O27" s="125">
        <v>17.899999999999999</v>
      </c>
      <c r="P27" s="126">
        <v>20.75</v>
      </c>
      <c r="Q27" s="127" t="b">
        <v>1</v>
      </c>
      <c r="R27" s="128">
        <v>1</v>
      </c>
      <c r="S27" s="129"/>
    </row>
    <row r="28" spans="2:19" x14ac:dyDescent="0.2">
      <c r="B28" s="234" t="s">
        <v>118</v>
      </c>
      <c r="C28" s="234"/>
      <c r="D28" s="170"/>
      <c r="E28" s="173">
        <v>0</v>
      </c>
      <c r="F28" s="174">
        <f t="shared" si="8"/>
        <v>0</v>
      </c>
      <c r="G28" s="175"/>
      <c r="H28" s="174">
        <f t="shared" si="9"/>
        <v>0</v>
      </c>
      <c r="I28" s="130"/>
      <c r="J28" s="92" t="s">
        <v>119</v>
      </c>
      <c r="K28" s="122" t="s">
        <v>110</v>
      </c>
      <c r="L28" s="92" t="s">
        <v>111</v>
      </c>
      <c r="M28" s="123" t="s">
        <v>112</v>
      </c>
      <c r="N28" s="124">
        <v>49.2</v>
      </c>
      <c r="O28" s="125">
        <v>57.4</v>
      </c>
      <c r="P28" s="126">
        <v>68.3</v>
      </c>
      <c r="Q28" s="127" t="b">
        <v>1</v>
      </c>
      <c r="R28" s="128">
        <v>1</v>
      </c>
      <c r="S28" s="129"/>
    </row>
    <row r="29" spans="2:19" x14ac:dyDescent="0.2">
      <c r="B29" s="234" t="s">
        <v>120</v>
      </c>
      <c r="C29" s="234"/>
      <c r="D29" s="170"/>
      <c r="E29" s="173">
        <v>0</v>
      </c>
      <c r="F29" s="174">
        <f t="shared" si="8"/>
        <v>0</v>
      </c>
      <c r="G29" s="175"/>
      <c r="H29" s="174">
        <f t="shared" si="9"/>
        <v>0</v>
      </c>
      <c r="I29" s="131"/>
      <c r="J29" s="92" t="s">
        <v>121</v>
      </c>
      <c r="K29" s="122" t="s">
        <v>110</v>
      </c>
      <c r="L29" s="92" t="s">
        <v>117</v>
      </c>
      <c r="M29" s="123" t="s">
        <v>112</v>
      </c>
      <c r="N29" s="124">
        <v>21.15</v>
      </c>
      <c r="O29" s="125">
        <v>31.6</v>
      </c>
      <c r="P29" s="126">
        <v>43.8</v>
      </c>
      <c r="Q29" s="127" t="b">
        <v>1</v>
      </c>
      <c r="R29" s="128">
        <v>1</v>
      </c>
      <c r="S29" s="129"/>
    </row>
    <row r="30" spans="2:19" x14ac:dyDescent="0.2">
      <c r="B30" s="234" t="s">
        <v>122</v>
      </c>
      <c r="C30" s="234"/>
      <c r="D30" s="170"/>
      <c r="E30" s="173">
        <v>0</v>
      </c>
      <c r="F30" s="174">
        <f t="shared" si="8"/>
        <v>0</v>
      </c>
      <c r="G30" s="175"/>
      <c r="H30" s="174">
        <f t="shared" si="9"/>
        <v>0</v>
      </c>
      <c r="J30" s="92" t="s">
        <v>123</v>
      </c>
      <c r="K30" s="122" t="s">
        <v>110</v>
      </c>
      <c r="L30" s="92" t="s">
        <v>117</v>
      </c>
      <c r="M30" s="123" t="s">
        <v>112</v>
      </c>
      <c r="N30" s="124">
        <v>2.8361702127659578</v>
      </c>
      <c r="O30" s="125">
        <v>4.3000000000000007</v>
      </c>
      <c r="P30" s="126">
        <v>5.4207446808510653</v>
      </c>
      <c r="Q30" s="127" t="b">
        <v>1</v>
      </c>
      <c r="R30" s="128">
        <v>1</v>
      </c>
      <c r="S30" s="129"/>
    </row>
    <row r="31" spans="2:19" x14ac:dyDescent="0.2">
      <c r="B31" s="234" t="s">
        <v>124</v>
      </c>
      <c r="C31" s="234"/>
      <c r="D31" s="170"/>
      <c r="E31" s="173">
        <v>0</v>
      </c>
      <c r="F31" s="174">
        <f t="shared" si="8"/>
        <v>0</v>
      </c>
      <c r="G31" s="175"/>
      <c r="H31" s="174">
        <f t="shared" si="9"/>
        <v>0</v>
      </c>
      <c r="I31" s="113"/>
      <c r="J31" s="92" t="s">
        <v>125</v>
      </c>
      <c r="K31" s="122" t="s">
        <v>110</v>
      </c>
      <c r="L31" s="92" t="s">
        <v>111</v>
      </c>
      <c r="M31" s="123" t="s">
        <v>112</v>
      </c>
      <c r="N31" s="124">
        <v>30.45</v>
      </c>
      <c r="O31" s="125">
        <v>52.9</v>
      </c>
      <c r="P31" s="126">
        <v>71.349999999999994</v>
      </c>
      <c r="Q31" s="127" t="b">
        <v>1</v>
      </c>
      <c r="R31" s="128">
        <v>1</v>
      </c>
      <c r="S31" s="129"/>
    </row>
    <row r="32" spans="2:19" x14ac:dyDescent="0.2">
      <c r="B32" s="234" t="s">
        <v>126</v>
      </c>
      <c r="C32" s="234"/>
      <c r="D32" s="170"/>
      <c r="E32" s="173">
        <v>0</v>
      </c>
      <c r="F32" s="174">
        <f t="shared" si="8"/>
        <v>0</v>
      </c>
      <c r="G32" s="175"/>
      <c r="H32" s="174">
        <f t="shared" si="9"/>
        <v>0</v>
      </c>
      <c r="I32" s="130"/>
      <c r="J32" s="92" t="s">
        <v>127</v>
      </c>
      <c r="K32" s="122" t="s">
        <v>110</v>
      </c>
      <c r="L32" s="92" t="s">
        <v>111</v>
      </c>
      <c r="M32" s="123" t="s">
        <v>112</v>
      </c>
      <c r="N32" s="124">
        <v>16.850000000000001</v>
      </c>
      <c r="O32" s="125">
        <v>21.4</v>
      </c>
      <c r="P32" s="126">
        <v>23.35</v>
      </c>
      <c r="Q32" s="127" t="b">
        <v>1</v>
      </c>
      <c r="R32" s="128">
        <v>1</v>
      </c>
      <c r="S32" s="129"/>
    </row>
    <row r="33" spans="2:19" x14ac:dyDescent="0.2">
      <c r="I33" s="130"/>
      <c r="J33" s="92" t="s">
        <v>128</v>
      </c>
      <c r="K33" s="122" t="s">
        <v>110</v>
      </c>
      <c r="L33" s="92" t="s">
        <v>117</v>
      </c>
      <c r="M33" s="123" t="s">
        <v>112</v>
      </c>
      <c r="N33" s="124">
        <v>29.450000000000003</v>
      </c>
      <c r="O33" s="125">
        <v>46.3</v>
      </c>
      <c r="P33" s="126">
        <v>77.400000000000006</v>
      </c>
      <c r="Q33" s="127" t="b">
        <v>1</v>
      </c>
      <c r="R33" s="128">
        <v>1</v>
      </c>
      <c r="S33" s="129"/>
    </row>
    <row r="34" spans="2:19" x14ac:dyDescent="0.2">
      <c r="F34" s="191" t="s">
        <v>129</v>
      </c>
      <c r="G34" s="191"/>
      <c r="H34" s="192">
        <f>SUM(I10,I11,I13,I17,I20,I16)</f>
        <v>323.20293931424129</v>
      </c>
      <c r="J34" s="92" t="s">
        <v>88</v>
      </c>
      <c r="K34" s="122" t="s">
        <v>110</v>
      </c>
      <c r="L34" s="92" t="s">
        <v>117</v>
      </c>
      <c r="M34" s="123" t="s">
        <v>112</v>
      </c>
      <c r="N34" s="124">
        <v>5.85</v>
      </c>
      <c r="O34" s="125">
        <v>7.6000000000000005</v>
      </c>
      <c r="P34" s="126">
        <v>9.0500000000000007</v>
      </c>
      <c r="Q34" s="127" t="b">
        <v>1</v>
      </c>
      <c r="R34" s="128">
        <v>1</v>
      </c>
      <c r="S34" s="129"/>
    </row>
    <row r="35" spans="2:19" x14ac:dyDescent="0.2">
      <c r="F35" s="191" t="s">
        <v>167</v>
      </c>
      <c r="G35" s="191"/>
      <c r="H35" s="192">
        <f>I21</f>
        <v>36.65175320537449</v>
      </c>
      <c r="J35" s="92" t="s">
        <v>90</v>
      </c>
      <c r="K35" s="122" t="s">
        <v>110</v>
      </c>
      <c r="L35" s="92" t="s">
        <v>111</v>
      </c>
      <c r="M35" s="123" t="s">
        <v>112</v>
      </c>
      <c r="N35" s="124">
        <v>13.75</v>
      </c>
      <c r="O35" s="125">
        <v>16.5</v>
      </c>
      <c r="P35" s="126">
        <v>24.2</v>
      </c>
      <c r="Q35" s="127" t="b">
        <v>1</v>
      </c>
      <c r="R35" s="128">
        <v>1</v>
      </c>
      <c r="S35" s="129"/>
    </row>
    <row r="36" spans="2:19" x14ac:dyDescent="0.2">
      <c r="F36" s="191" t="s">
        <v>130</v>
      </c>
      <c r="G36" s="191"/>
      <c r="H36" s="192">
        <f>SUM(I12,I14,I15,I18,I19)</f>
        <v>75.304113149662058</v>
      </c>
      <c r="J36" s="92" t="s">
        <v>132</v>
      </c>
      <c r="K36" s="122" t="s">
        <v>110</v>
      </c>
      <c r="L36" s="92" t="s">
        <v>111</v>
      </c>
      <c r="M36" s="123" t="s">
        <v>112</v>
      </c>
      <c r="N36" s="132">
        <v>21.85</v>
      </c>
      <c r="O36" s="92">
        <v>29.6</v>
      </c>
      <c r="P36" s="133">
        <v>35.450000000000003</v>
      </c>
      <c r="Q36" s="127" t="b">
        <v>1</v>
      </c>
      <c r="R36" s="128">
        <v>1</v>
      </c>
      <c r="S36" s="134"/>
    </row>
    <row r="37" spans="2:19" ht="13.5" thickBot="1" x14ac:dyDescent="0.25">
      <c r="F37" s="189" t="s">
        <v>131</v>
      </c>
      <c r="G37" s="189"/>
      <c r="H37" s="190">
        <f>SUM(H26:H33)</f>
        <v>0</v>
      </c>
      <c r="J37" s="101"/>
      <c r="K37" s="101"/>
      <c r="L37" s="137"/>
      <c r="M37" s="137"/>
      <c r="N37" s="138"/>
      <c r="O37" s="139"/>
      <c r="P37" s="140"/>
      <c r="Q37" s="105"/>
      <c r="R37" s="141"/>
      <c r="S37" s="105"/>
    </row>
    <row r="38" spans="2:19" x14ac:dyDescent="0.2">
      <c r="B38" s="142"/>
      <c r="C38" s="143"/>
      <c r="F38" s="135" t="s">
        <v>133</v>
      </c>
      <c r="G38" s="135"/>
      <c r="H38" s="136">
        <f>SUM(H34:H37)</f>
        <v>435.15880566927785</v>
      </c>
      <c r="L38" s="137"/>
      <c r="M38" s="137"/>
      <c r="N38" s="101"/>
      <c r="O38" s="101"/>
      <c r="P38" s="101"/>
      <c r="Q38" s="101"/>
      <c r="R38" s="101"/>
      <c r="S38" s="101"/>
    </row>
    <row r="39" spans="2:19" ht="13.5" thickBot="1" x14ac:dyDescent="0.25">
      <c r="B39" s="142"/>
      <c r="C39" s="143"/>
      <c r="F39" s="135" t="s">
        <v>134</v>
      </c>
      <c r="G39" s="135"/>
      <c r="H39" s="136">
        <f>H38*12</f>
        <v>5221.9056680313342</v>
      </c>
      <c r="I39" s="130"/>
      <c r="J39" s="101" t="s">
        <v>135</v>
      </c>
      <c r="K39" s="101" t="s">
        <v>68</v>
      </c>
      <c r="L39" s="101"/>
      <c r="M39" s="101"/>
      <c r="N39" s="101"/>
      <c r="O39" s="101"/>
      <c r="P39" s="101"/>
      <c r="Q39" s="101"/>
      <c r="R39" s="101"/>
    </row>
    <row r="40" spans="2:19" ht="13.5" thickBot="1" x14ac:dyDescent="0.25">
      <c r="B40" s="176" t="s">
        <v>136</v>
      </c>
      <c r="C40" s="176" t="s">
        <v>137</v>
      </c>
      <c r="D40" s="177" t="s">
        <v>138</v>
      </c>
      <c r="I40" s="130"/>
      <c r="J40" s="161" t="s">
        <v>139</v>
      </c>
      <c r="K40" s="162">
        <v>27479</v>
      </c>
      <c r="L40" s="137"/>
      <c r="M40" s="144" t="s">
        <v>140</v>
      </c>
      <c r="N40" s="101"/>
      <c r="O40" s="101"/>
      <c r="P40" s="101"/>
      <c r="Q40" s="101"/>
      <c r="R40" s="101"/>
    </row>
    <row r="41" spans="2:19" x14ac:dyDescent="0.2">
      <c r="B41" s="181" t="str">
        <f>J44</f>
        <v>EquivalenceScaleFactorHeadOfHousehold</v>
      </c>
      <c r="C41" s="182">
        <v>1.5</v>
      </c>
      <c r="D41" s="183">
        <f>C41*1</f>
        <v>1.5</v>
      </c>
      <c r="I41" s="131"/>
      <c r="J41" s="163" t="s">
        <v>141</v>
      </c>
      <c r="K41" s="164">
        <v>49316</v>
      </c>
      <c r="L41" s="137"/>
      <c r="M41" s="144" t="s">
        <v>142</v>
      </c>
      <c r="N41" s="101"/>
      <c r="O41" s="101"/>
      <c r="P41" s="101"/>
      <c r="Q41" s="101"/>
      <c r="R41" s="101"/>
    </row>
    <row r="42" spans="2:19" ht="13.5" thickBot="1" x14ac:dyDescent="0.25">
      <c r="B42" s="184" t="str">
        <f>J45</f>
        <v>EquivalenceScaleFactorSubsequentAdults</v>
      </c>
      <c r="C42" s="145">
        <v>0.5</v>
      </c>
      <c r="D42" s="185">
        <f>IF(C50&gt;1,C42*(C50-1),0)</f>
        <v>0</v>
      </c>
      <c r="J42" s="165" t="s">
        <v>143</v>
      </c>
      <c r="K42" s="166">
        <v>106734</v>
      </c>
      <c r="L42" s="101"/>
    </row>
    <row r="43" spans="2:19" ht="13.5" thickBot="1" x14ac:dyDescent="0.25">
      <c r="B43" s="184" t="str">
        <f>J46</f>
        <v>EquivalenceScaleFactorChildren</v>
      </c>
      <c r="C43" s="145">
        <f>K46</f>
        <v>0.3</v>
      </c>
      <c r="D43" s="185">
        <f>(MIN(1,C51))*C43</f>
        <v>0</v>
      </c>
      <c r="J43" s="101"/>
      <c r="K43" s="146"/>
    </row>
    <row r="44" spans="2:19" x14ac:dyDescent="0.2">
      <c r="B44" s="184" t="s">
        <v>144</v>
      </c>
      <c r="C44" s="145">
        <v>0.2</v>
      </c>
      <c r="D44" s="185">
        <f>IF(C51&gt;1,1*C44,0)</f>
        <v>0</v>
      </c>
      <c r="I44" s="64"/>
      <c r="J44" s="101" t="s">
        <v>145</v>
      </c>
      <c r="K44" s="147">
        <v>1.5</v>
      </c>
      <c r="L44" s="64" t="s">
        <v>146</v>
      </c>
      <c r="M44" s="101"/>
    </row>
    <row r="45" spans="2:19" ht="13.5" thickBot="1" x14ac:dyDescent="0.25">
      <c r="B45" s="186" t="s">
        <v>147</v>
      </c>
      <c r="C45" s="187">
        <v>0.1</v>
      </c>
      <c r="D45" s="188">
        <f>IF(C51&gt;2,(C51-2)*C45,0)</f>
        <v>0</v>
      </c>
      <c r="I45" s="131"/>
      <c r="J45" s="101" t="s">
        <v>148</v>
      </c>
      <c r="K45" s="148">
        <v>0.5</v>
      </c>
      <c r="L45" s="64" t="s">
        <v>149</v>
      </c>
      <c r="M45" s="101"/>
    </row>
    <row r="46" spans="2:19" ht="13.5" thickBot="1" x14ac:dyDescent="0.25">
      <c r="B46" s="178" t="s">
        <v>150</v>
      </c>
      <c r="C46" s="179"/>
      <c r="D46" s="180">
        <f>SUM(scaling_factor_head,scaling_factor_adults,scaling_factor_children,D44,D45)</f>
        <v>1.5</v>
      </c>
      <c r="I46" s="131"/>
      <c r="J46" s="101" t="s">
        <v>151</v>
      </c>
      <c r="K46" s="149">
        <v>0.3</v>
      </c>
      <c r="L46" s="64"/>
      <c r="M46" s="101"/>
    </row>
    <row r="47" spans="2:19" ht="13.5" thickBot="1" x14ac:dyDescent="0.25">
      <c r="J47" s="101" t="s">
        <v>152</v>
      </c>
      <c r="K47" s="150">
        <v>2.36</v>
      </c>
      <c r="L47" s="64" t="s">
        <v>146</v>
      </c>
      <c r="M47" s="101"/>
    </row>
    <row r="49" spans="2:11" x14ac:dyDescent="0.2">
      <c r="B49" s="61" t="s">
        <v>153</v>
      </c>
      <c r="C49" s="77"/>
    </row>
    <row r="50" spans="2:11" x14ac:dyDescent="0.2">
      <c r="B50" s="151" t="s">
        <v>154</v>
      </c>
      <c r="C50" s="152">
        <f>'Affordability Calculator'!C22</f>
        <v>0</v>
      </c>
    </row>
    <row r="51" spans="2:11" x14ac:dyDescent="0.2">
      <c r="B51" s="151" t="s">
        <v>155</v>
      </c>
      <c r="C51" s="152">
        <f>'Affordability Calculator'!C23</f>
        <v>0</v>
      </c>
      <c r="J51" s="153"/>
      <c r="K51" s="101"/>
    </row>
    <row r="52" spans="2:11" x14ac:dyDescent="0.2">
      <c r="J52" s="101"/>
      <c r="K52" s="101"/>
    </row>
    <row r="53" spans="2:11" x14ac:dyDescent="0.2">
      <c r="J53" s="101"/>
      <c r="K53" s="101"/>
    </row>
    <row r="54" spans="2:11" x14ac:dyDescent="0.2">
      <c r="J54" s="153"/>
      <c r="K54" s="101"/>
    </row>
    <row r="55" spans="2:11" x14ac:dyDescent="0.2">
      <c r="K55" s="101"/>
    </row>
    <row r="56" spans="2:11" x14ac:dyDescent="0.2">
      <c r="K56" s="101"/>
    </row>
    <row r="57" spans="2:11" x14ac:dyDescent="0.2">
      <c r="K57" s="101"/>
    </row>
    <row r="58" spans="2:11" x14ac:dyDescent="0.2">
      <c r="J58" s="101"/>
      <c r="K58" s="101"/>
    </row>
    <row r="59" spans="2:11" x14ac:dyDescent="0.2">
      <c r="J59" s="153"/>
      <c r="K59" s="101"/>
    </row>
    <row r="60" spans="2:11" ht="123.75" customHeight="1" x14ac:dyDescent="0.2"/>
    <row r="62" spans="2:11" x14ac:dyDescent="0.2">
      <c r="K62" s="154"/>
    </row>
    <row r="63" spans="2:11" x14ac:dyDescent="0.2">
      <c r="B63" s="154"/>
    </row>
    <row r="64" spans="2:11" x14ac:dyDescent="0.2">
      <c r="K64" s="155"/>
    </row>
    <row r="65" spans="2:11" ht="15" x14ac:dyDescent="0.25">
      <c r="B65" s="156"/>
      <c r="K65" s="155"/>
    </row>
    <row r="66" spans="2:11" x14ac:dyDescent="0.2">
      <c r="F66" s="157"/>
      <c r="G66" s="157"/>
    </row>
    <row r="67" spans="2:11" x14ac:dyDescent="0.2">
      <c r="F67" s="158"/>
      <c r="G67" s="158"/>
    </row>
    <row r="68" spans="2:11" x14ac:dyDescent="0.2">
      <c r="F68" s="159"/>
      <c r="G68" s="159"/>
      <c r="J68" s="101"/>
      <c r="K68" s="101"/>
    </row>
    <row r="69" spans="2:11" x14ac:dyDescent="0.2">
      <c r="F69" s="158"/>
      <c r="G69" s="158"/>
      <c r="K69" s="155"/>
    </row>
    <row r="70" spans="2:11" x14ac:dyDescent="0.2">
      <c r="F70" s="159"/>
      <c r="G70" s="159"/>
      <c r="K70" s="155"/>
    </row>
    <row r="71" spans="2:11" x14ac:dyDescent="0.2">
      <c r="F71" s="159"/>
      <c r="G71" s="159"/>
    </row>
    <row r="72" spans="2:11" x14ac:dyDescent="0.2">
      <c r="F72" s="159"/>
      <c r="G72" s="159"/>
    </row>
    <row r="73" spans="2:11" x14ac:dyDescent="0.2">
      <c r="F73" s="158"/>
      <c r="G73" s="158"/>
      <c r="J73" s="155"/>
    </row>
    <row r="74" spans="2:11" ht="15" x14ac:dyDescent="0.25">
      <c r="F74" s="160"/>
      <c r="G74" s="160"/>
      <c r="J74" s="155"/>
    </row>
    <row r="75" spans="2:11" x14ac:dyDescent="0.2">
      <c r="J75" s="155"/>
    </row>
    <row r="116" spans="6:7" x14ac:dyDescent="0.2">
      <c r="F116" s="101"/>
      <c r="G116" s="101"/>
    </row>
    <row r="117" spans="6:7" x14ac:dyDescent="0.2">
      <c r="F117" s="101"/>
      <c r="G117" s="101"/>
    </row>
    <row r="118" spans="6:7" x14ac:dyDescent="0.2">
      <c r="F118" s="101"/>
      <c r="G118" s="101"/>
    </row>
    <row r="119" spans="6:7" x14ac:dyDescent="0.2">
      <c r="F119" s="101"/>
      <c r="G119" s="101"/>
    </row>
    <row r="120" spans="6:7" x14ac:dyDescent="0.2">
      <c r="F120" s="101"/>
      <c r="G120" s="101"/>
    </row>
    <row r="121" spans="6:7" x14ac:dyDescent="0.2">
      <c r="F121" s="101"/>
      <c r="G121" s="101"/>
    </row>
  </sheetData>
  <mergeCells count="23">
    <mergeCell ref="B12:C12"/>
    <mergeCell ref="D3:E3"/>
    <mergeCell ref="D4:E4"/>
    <mergeCell ref="B9:C9"/>
    <mergeCell ref="B10:C10"/>
    <mergeCell ref="B11:C11"/>
    <mergeCell ref="B27:C27"/>
    <mergeCell ref="B13:C13"/>
    <mergeCell ref="B14:C14"/>
    <mergeCell ref="B15:C15"/>
    <mergeCell ref="B16:C16"/>
    <mergeCell ref="B17:C17"/>
    <mergeCell ref="B18:C18"/>
    <mergeCell ref="B19:C19"/>
    <mergeCell ref="B20:C20"/>
    <mergeCell ref="B21:C21"/>
    <mergeCell ref="B25:C25"/>
    <mergeCell ref="B26:C26"/>
    <mergeCell ref="B28:C28"/>
    <mergeCell ref="B29:C29"/>
    <mergeCell ref="B30:C30"/>
    <mergeCell ref="B31:C31"/>
    <mergeCell ref="B32:C32"/>
  </mergeCells>
  <dataValidations disablePrompts="1" count="2">
    <dataValidation type="list" allowBlank="1" showInputMessage="1" showErrorMessage="1" sqref="K39" xr:uid="{8C380AEC-670C-4D69-B897-59D5B281CAB7}">
      <formula1>$U$3:$U$4</formula1>
    </dataValidation>
    <dataValidation type="list" allowBlank="1" showInputMessage="1" showErrorMessage="1" sqref="F6" xr:uid="{0C82FDCC-34D3-42F3-9C42-2FB5855A6A0F}">
      <formula1>$X$2:$X$3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2B51-F435-47AB-8EB6-B91B96D24D45}">
  <sheetPr codeName="Sheet3"/>
  <dimension ref="A1:B24"/>
  <sheetViews>
    <sheetView workbookViewId="0">
      <selection activeCell="A32" sqref="A32"/>
    </sheetView>
  </sheetViews>
  <sheetFormatPr defaultRowHeight="12.75" x14ac:dyDescent="0.2"/>
  <cols>
    <col min="1" max="1" width="40.28515625" customWidth="1"/>
  </cols>
  <sheetData>
    <row r="1" spans="1:2" x14ac:dyDescent="0.2">
      <c r="A1" t="s">
        <v>191</v>
      </c>
      <c r="B1" s="52">
        <v>5.8900000000000001E-2</v>
      </c>
    </row>
    <row r="2" spans="1:2" x14ac:dyDescent="0.2">
      <c r="A2" t="s">
        <v>192</v>
      </c>
      <c r="B2" s="52">
        <v>5.6899999999999999E-2</v>
      </c>
    </row>
    <row r="3" spans="1:2" x14ac:dyDescent="0.2">
      <c r="A3" t="s">
        <v>193</v>
      </c>
      <c r="B3" s="52">
        <v>4.19E-2</v>
      </c>
    </row>
    <row r="4" spans="1:2" x14ac:dyDescent="0.2">
      <c r="A4" s="56" t="s">
        <v>194</v>
      </c>
      <c r="B4" s="52">
        <v>4.99E-2</v>
      </c>
    </row>
    <row r="5" spans="1:2" x14ac:dyDescent="0.2">
      <c r="A5" s="56" t="s">
        <v>195</v>
      </c>
      <c r="B5" s="52">
        <v>5.79E-2</v>
      </c>
    </row>
    <row r="6" spans="1:2" x14ac:dyDescent="0.2">
      <c r="A6" t="s">
        <v>49</v>
      </c>
      <c r="B6" s="52">
        <v>6.0400000000000002E-2</v>
      </c>
    </row>
    <row r="7" spans="1:2" x14ac:dyDescent="0.2">
      <c r="A7" t="s">
        <v>197</v>
      </c>
      <c r="B7" s="52">
        <v>5.6899999999999999E-2</v>
      </c>
    </row>
    <row r="8" spans="1:2" x14ac:dyDescent="0.2">
      <c r="A8" t="s">
        <v>196</v>
      </c>
      <c r="B8" s="52">
        <v>5.9900000000000002E-2</v>
      </c>
    </row>
    <row r="9" spans="1:2" x14ac:dyDescent="0.2">
      <c r="A9" t="s">
        <v>50</v>
      </c>
      <c r="B9" s="52">
        <v>4.19E-2</v>
      </c>
    </row>
    <row r="10" spans="1:2" x14ac:dyDescent="0.2">
      <c r="A10" s="56" t="s">
        <v>179</v>
      </c>
      <c r="B10" s="52">
        <v>5.5399999999999998E-2</v>
      </c>
    </row>
    <row r="11" spans="1:2" x14ac:dyDescent="0.2">
      <c r="A11" s="56" t="s">
        <v>180</v>
      </c>
      <c r="B11" s="52">
        <v>5.3400000000000003E-2</v>
      </c>
    </row>
    <row r="14" spans="1:2" x14ac:dyDescent="0.2">
      <c r="A14" t="s">
        <v>170</v>
      </c>
    </row>
    <row r="17" spans="1:2" x14ac:dyDescent="0.2">
      <c r="A17" t="s">
        <v>176</v>
      </c>
      <c r="B17">
        <v>1.75</v>
      </c>
    </row>
    <row r="20" spans="1:2" x14ac:dyDescent="0.2">
      <c r="A20" t="s">
        <v>178</v>
      </c>
      <c r="B20">
        <v>0</v>
      </c>
    </row>
    <row r="21" spans="1:2" x14ac:dyDescent="0.2">
      <c r="B21">
        <v>1</v>
      </c>
    </row>
    <row r="22" spans="1:2" x14ac:dyDescent="0.2">
      <c r="B22">
        <v>2</v>
      </c>
    </row>
    <row r="23" spans="1:2" x14ac:dyDescent="0.2">
      <c r="B23">
        <v>3</v>
      </c>
    </row>
    <row r="24" spans="1:2" x14ac:dyDescent="0.2">
      <c r="B24">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93D1-17E7-474A-8BD2-10D132A24CE1}">
  <sheetPr codeName="Sheet2"/>
  <dimension ref="A1:C8"/>
  <sheetViews>
    <sheetView workbookViewId="0">
      <selection activeCell="H10" sqref="H10"/>
    </sheetView>
  </sheetViews>
  <sheetFormatPr defaultRowHeight="12.75" x14ac:dyDescent="0.2"/>
  <cols>
    <col min="1" max="1" width="9.42578125" customWidth="1"/>
    <col min="2" max="2" width="16.28515625" customWidth="1"/>
    <col min="3" max="3" width="32.42578125" style="54" customWidth="1"/>
  </cols>
  <sheetData>
    <row r="1" spans="1:3" x14ac:dyDescent="0.2">
      <c r="A1" t="s">
        <v>51</v>
      </c>
      <c r="B1" t="s">
        <v>52</v>
      </c>
      <c r="C1" s="54" t="s">
        <v>53</v>
      </c>
    </row>
    <row r="2" spans="1:3" ht="25.5" x14ac:dyDescent="0.2">
      <c r="A2">
        <v>1.7</v>
      </c>
      <c r="B2" s="53">
        <v>45751</v>
      </c>
      <c r="C2" s="54" t="s">
        <v>54</v>
      </c>
    </row>
    <row r="3" spans="1:3" ht="25.5" x14ac:dyDescent="0.2">
      <c r="A3">
        <v>1.8</v>
      </c>
      <c r="B3" s="53">
        <v>45791</v>
      </c>
      <c r="C3" s="54" t="s">
        <v>55</v>
      </c>
    </row>
    <row r="4" spans="1:3" x14ac:dyDescent="0.2">
      <c r="A4">
        <v>1.9</v>
      </c>
      <c r="B4" s="53">
        <v>45805</v>
      </c>
      <c r="C4" s="54" t="s">
        <v>56</v>
      </c>
    </row>
    <row r="5" spans="1:3" ht="25.5" x14ac:dyDescent="0.2">
      <c r="A5">
        <v>2</v>
      </c>
      <c r="B5" s="53">
        <v>45845</v>
      </c>
      <c r="C5" s="55" t="s">
        <v>57</v>
      </c>
    </row>
    <row r="6" spans="1:3" ht="38.25" x14ac:dyDescent="0.2">
      <c r="A6">
        <v>3</v>
      </c>
      <c r="B6" s="53">
        <v>45873</v>
      </c>
      <c r="C6" s="54" t="s">
        <v>173</v>
      </c>
    </row>
    <row r="7" spans="1:3" ht="25.5" x14ac:dyDescent="0.2">
      <c r="A7">
        <v>4</v>
      </c>
      <c r="B7" s="53">
        <v>45962</v>
      </c>
      <c r="C7" s="54" t="s">
        <v>189</v>
      </c>
    </row>
    <row r="8" spans="1:3" ht="25.5" x14ac:dyDescent="0.2">
      <c r="A8">
        <v>5</v>
      </c>
      <c r="B8" s="53">
        <v>45993</v>
      </c>
      <c r="C8" s="54" t="s">
        <v>190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8EA0-CAC5-4CA8-B5DD-8914E8DC3BD5}">
  <sheetPr codeName="Sheet5"/>
  <dimension ref="A2:AE20"/>
  <sheetViews>
    <sheetView workbookViewId="0">
      <selection activeCell="L32" sqref="L32"/>
    </sheetView>
  </sheetViews>
  <sheetFormatPr defaultColWidth="9.140625" defaultRowHeight="12.75" x14ac:dyDescent="0.2"/>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2" spans="1:31" x14ac:dyDescent="0.2">
      <c r="Q2" s="197"/>
      <c r="R2" s="197"/>
      <c r="S2" s="197"/>
      <c r="T2" s="197"/>
      <c r="U2" s="197"/>
      <c r="V2" s="197"/>
      <c r="W2" s="197"/>
      <c r="X2" s="197"/>
      <c r="Y2" s="197"/>
      <c r="Z2" s="197"/>
      <c r="AA2" s="197"/>
      <c r="AB2" s="197"/>
      <c r="AC2" s="197"/>
      <c r="AD2" s="197"/>
      <c r="AE2" s="197"/>
    </row>
    <row r="3" spans="1:31" x14ac:dyDescent="0.2">
      <c r="A3" s="12"/>
      <c r="B3" s="12" t="s">
        <v>0</v>
      </c>
      <c r="C3" s="12" t="s">
        <v>1</v>
      </c>
      <c r="D3" s="12" t="s">
        <v>2</v>
      </c>
      <c r="E3" s="12" t="s">
        <v>0</v>
      </c>
      <c r="F3" s="12" t="s">
        <v>3</v>
      </c>
      <c r="G3" s="12" t="s">
        <v>4</v>
      </c>
      <c r="H3" s="12" t="s">
        <v>5</v>
      </c>
      <c r="J3" s="13" t="s">
        <v>6</v>
      </c>
      <c r="K3" s="14">
        <f>'Affordability Assessment'!D5</f>
        <v>7.64</v>
      </c>
      <c r="Q3" s="198"/>
      <c r="R3" s="198"/>
      <c r="S3" s="198"/>
      <c r="T3" s="198"/>
      <c r="U3" s="198"/>
      <c r="V3" s="198"/>
      <c r="W3" s="198"/>
      <c r="X3" s="198"/>
      <c r="Y3" s="197"/>
      <c r="Z3" s="35"/>
      <c r="AA3" s="199"/>
      <c r="AB3" s="197"/>
      <c r="AC3" s="197"/>
      <c r="AD3" s="197"/>
      <c r="AE3" s="197"/>
    </row>
    <row r="4" spans="1:31" x14ac:dyDescent="0.2">
      <c r="J4" s="13" t="s">
        <v>7</v>
      </c>
      <c r="K4" s="1">
        <f>(K3/100)/12</f>
        <v>6.3666666666666663E-3</v>
      </c>
      <c r="Q4" s="197"/>
      <c r="R4" s="197"/>
      <c r="S4" s="197"/>
      <c r="T4" s="197"/>
      <c r="U4" s="197"/>
      <c r="V4" s="197"/>
      <c r="W4" s="197"/>
      <c r="X4" s="197"/>
      <c r="Y4" s="197"/>
      <c r="Z4" s="35"/>
      <c r="AA4" s="197"/>
      <c r="AB4" s="197"/>
      <c r="AC4" s="197"/>
      <c r="AD4" s="197"/>
      <c r="AE4" s="197"/>
    </row>
    <row r="5" spans="1:31" x14ac:dyDescent="0.2">
      <c r="H5" s="15">
        <f>'Affordability Assessment'!D3</f>
        <v>0</v>
      </c>
      <c r="J5" s="13" t="s">
        <v>8</v>
      </c>
      <c r="K5" s="16">
        <f>N13</f>
        <v>360</v>
      </c>
      <c r="Q5" s="197"/>
      <c r="R5" s="197"/>
      <c r="S5" s="197"/>
      <c r="T5" s="197"/>
      <c r="U5" s="197"/>
      <c r="V5" s="197"/>
      <c r="W5" s="197"/>
      <c r="X5" s="200"/>
      <c r="Y5" s="197"/>
      <c r="Z5" s="35"/>
      <c r="AA5" s="197"/>
      <c r="AB5" s="197"/>
      <c r="AC5" s="197"/>
      <c r="AD5" s="197"/>
      <c r="AE5" s="197"/>
    </row>
    <row r="6" spans="1:31" x14ac:dyDescent="0.2">
      <c r="A6" s="1">
        <v>1</v>
      </c>
      <c r="B6" s="17">
        <f t="shared" ref="B6:B17" si="0">E6</f>
        <v>0</v>
      </c>
      <c r="C6" s="17">
        <f t="shared" ref="C6:C17" si="1">F6/12</f>
        <v>0</v>
      </c>
      <c r="D6" s="17">
        <f t="shared" ref="D6:D17" si="2">G6/12</f>
        <v>0</v>
      </c>
      <c r="E6" s="17">
        <f>H5*POWER(1+K4,K5)/(POWER(1+K4,K5)-1)*K4</f>
        <v>0</v>
      </c>
      <c r="F6" s="17">
        <f t="shared" ref="F6:F17" si="3">H5*$K$4</f>
        <v>0</v>
      </c>
      <c r="G6" s="17">
        <f t="shared" ref="G6:G17" si="4">E6-F6</f>
        <v>0</v>
      </c>
      <c r="H6" s="17">
        <f t="shared" ref="H6:H17" si="5">H5-G6</f>
        <v>0</v>
      </c>
      <c r="Q6" s="197"/>
      <c r="R6" s="199"/>
      <c r="S6" s="199"/>
      <c r="T6" s="199"/>
      <c r="U6" s="199"/>
      <c r="V6" s="199"/>
      <c r="W6" s="199"/>
      <c r="X6" s="199"/>
      <c r="Y6" s="197"/>
      <c r="Z6" s="197"/>
      <c r="AA6" s="197"/>
      <c r="AB6" s="197"/>
      <c r="AC6" s="197"/>
      <c r="AD6" s="197"/>
      <c r="AE6" s="197"/>
    </row>
    <row r="7" spans="1:31" x14ac:dyDescent="0.2">
      <c r="A7" s="1">
        <v>2</v>
      </c>
      <c r="B7" s="17">
        <f t="shared" si="0"/>
        <v>0</v>
      </c>
      <c r="C7" s="17">
        <f t="shared" si="1"/>
        <v>0</v>
      </c>
      <c r="D7" s="17">
        <f t="shared" si="2"/>
        <v>0</v>
      </c>
      <c r="E7" s="17">
        <f t="shared" ref="E7:E17" si="6">E6</f>
        <v>0</v>
      </c>
      <c r="F7" s="17">
        <f t="shared" si="3"/>
        <v>0</v>
      </c>
      <c r="G7" s="17">
        <f t="shared" si="4"/>
        <v>0</v>
      </c>
      <c r="H7" s="17">
        <f t="shared" si="5"/>
        <v>0</v>
      </c>
      <c r="Q7" s="197"/>
      <c r="R7" s="199"/>
      <c r="S7" s="199"/>
      <c r="T7" s="199"/>
      <c r="U7" s="199"/>
      <c r="V7" s="199"/>
      <c r="W7" s="199"/>
      <c r="X7" s="199"/>
      <c r="Y7" s="197"/>
      <c r="Z7" s="197"/>
      <c r="AA7" s="197"/>
      <c r="AB7" s="197"/>
      <c r="AC7" s="197"/>
      <c r="AD7" s="197"/>
      <c r="AE7" s="197"/>
    </row>
    <row r="8" spans="1:31" x14ac:dyDescent="0.2">
      <c r="A8" s="1">
        <v>3</v>
      </c>
      <c r="B8" s="17">
        <f t="shared" si="0"/>
        <v>0</v>
      </c>
      <c r="C8" s="17">
        <f t="shared" si="1"/>
        <v>0</v>
      </c>
      <c r="D8" s="17">
        <f t="shared" si="2"/>
        <v>0</v>
      </c>
      <c r="E8" s="17">
        <f t="shared" si="6"/>
        <v>0</v>
      </c>
      <c r="F8" s="17">
        <f t="shared" si="3"/>
        <v>0</v>
      </c>
      <c r="G8" s="17">
        <f t="shared" si="4"/>
        <v>0</v>
      </c>
      <c r="H8" s="17">
        <f t="shared" si="5"/>
        <v>0</v>
      </c>
      <c r="Q8" s="197"/>
      <c r="R8" s="199"/>
      <c r="S8" s="199"/>
      <c r="T8" s="199"/>
      <c r="U8" s="199"/>
      <c r="V8" s="199"/>
      <c r="W8" s="199"/>
      <c r="X8" s="199"/>
      <c r="Y8" s="197"/>
      <c r="Z8" s="197"/>
      <c r="AA8" s="197"/>
      <c r="AB8" s="197"/>
      <c r="AC8" s="197"/>
      <c r="AD8" s="197"/>
      <c r="AE8" s="197"/>
    </row>
    <row r="9" spans="1:31" x14ac:dyDescent="0.2">
      <c r="A9" s="1">
        <v>4</v>
      </c>
      <c r="B9" s="17">
        <f t="shared" si="0"/>
        <v>0</v>
      </c>
      <c r="C9" s="17">
        <f t="shared" si="1"/>
        <v>0</v>
      </c>
      <c r="D9" s="17">
        <f t="shared" si="2"/>
        <v>0</v>
      </c>
      <c r="E9" s="17">
        <f t="shared" si="6"/>
        <v>0</v>
      </c>
      <c r="F9" s="17">
        <f t="shared" si="3"/>
        <v>0</v>
      </c>
      <c r="G9" s="17">
        <f t="shared" si="4"/>
        <v>0</v>
      </c>
      <c r="H9" s="17">
        <f t="shared" si="5"/>
        <v>0</v>
      </c>
      <c r="Q9" s="197"/>
      <c r="R9" s="199"/>
      <c r="S9" s="199"/>
      <c r="T9" s="199"/>
      <c r="U9" s="199"/>
      <c r="V9" s="199"/>
      <c r="W9" s="199"/>
      <c r="X9" s="199"/>
      <c r="Y9" s="197"/>
      <c r="Z9" s="197"/>
      <c r="AA9" s="197"/>
      <c r="AB9" s="197"/>
      <c r="AC9" s="197"/>
      <c r="AD9" s="197"/>
      <c r="AE9" s="197"/>
    </row>
    <row r="10" spans="1:31" x14ac:dyDescent="0.2">
      <c r="A10" s="1">
        <v>5</v>
      </c>
      <c r="B10" s="17">
        <f t="shared" si="0"/>
        <v>0</v>
      </c>
      <c r="C10" s="17">
        <f t="shared" si="1"/>
        <v>0</v>
      </c>
      <c r="D10" s="17">
        <f t="shared" si="2"/>
        <v>0</v>
      </c>
      <c r="E10" s="17">
        <f t="shared" si="6"/>
        <v>0</v>
      </c>
      <c r="F10" s="17">
        <f t="shared" si="3"/>
        <v>0</v>
      </c>
      <c r="G10" s="17">
        <f t="shared" si="4"/>
        <v>0</v>
      </c>
      <c r="H10" s="17">
        <f t="shared" si="5"/>
        <v>0</v>
      </c>
      <c r="Q10" s="197"/>
      <c r="R10" s="199"/>
      <c r="S10" s="199"/>
      <c r="T10" s="199"/>
      <c r="U10" s="199"/>
      <c r="V10" s="199"/>
      <c r="W10" s="199"/>
      <c r="X10" s="199"/>
      <c r="Y10" s="197"/>
      <c r="Z10" s="197"/>
      <c r="AA10" s="197"/>
      <c r="AB10" s="197"/>
      <c r="AC10" s="197"/>
      <c r="AD10" s="197"/>
      <c r="AE10" s="197"/>
    </row>
    <row r="11" spans="1:31" x14ac:dyDescent="0.2">
      <c r="A11" s="1">
        <v>6</v>
      </c>
      <c r="B11" s="17">
        <f t="shared" si="0"/>
        <v>0</v>
      </c>
      <c r="C11" s="17">
        <f t="shared" si="1"/>
        <v>0</v>
      </c>
      <c r="D11" s="17">
        <f t="shared" si="2"/>
        <v>0</v>
      </c>
      <c r="E11" s="17">
        <f t="shared" si="6"/>
        <v>0</v>
      </c>
      <c r="F11" s="17">
        <f t="shared" si="3"/>
        <v>0</v>
      </c>
      <c r="G11" s="17">
        <f t="shared" si="4"/>
        <v>0</v>
      </c>
      <c r="H11" s="17">
        <f t="shared" si="5"/>
        <v>0</v>
      </c>
      <c r="M11" s="13" t="s">
        <v>16</v>
      </c>
      <c r="N11" s="18">
        <f>'Affordability Assessment'!D4</f>
        <v>30</v>
      </c>
      <c r="Q11" s="197"/>
      <c r="R11" s="199"/>
      <c r="S11" s="199"/>
      <c r="T11" s="199"/>
      <c r="U11" s="199"/>
      <c r="V11" s="199"/>
      <c r="W11" s="199"/>
      <c r="X11" s="199"/>
      <c r="Y11" s="197"/>
      <c r="Z11" s="197"/>
      <c r="AA11" s="197"/>
      <c r="AB11" s="197"/>
      <c r="AC11" s="35"/>
      <c r="AD11" s="201"/>
      <c r="AE11" s="197"/>
    </row>
    <row r="12" spans="1:31" x14ac:dyDescent="0.2">
      <c r="A12" s="1">
        <v>7</v>
      </c>
      <c r="B12" s="17">
        <f t="shared" si="0"/>
        <v>0</v>
      </c>
      <c r="C12" s="17">
        <f t="shared" si="1"/>
        <v>0</v>
      </c>
      <c r="D12" s="17">
        <f t="shared" si="2"/>
        <v>0</v>
      </c>
      <c r="E12" s="17">
        <f t="shared" si="6"/>
        <v>0</v>
      </c>
      <c r="F12" s="17">
        <f t="shared" si="3"/>
        <v>0</v>
      </c>
      <c r="G12" s="17">
        <f t="shared" si="4"/>
        <v>0</v>
      </c>
      <c r="H12" s="14">
        <f t="shared" si="5"/>
        <v>0</v>
      </c>
      <c r="Q12" s="197"/>
      <c r="R12" s="199"/>
      <c r="S12" s="199"/>
      <c r="T12" s="199"/>
      <c r="U12" s="199"/>
      <c r="V12" s="199"/>
      <c r="W12" s="199"/>
      <c r="X12" s="199"/>
      <c r="Y12" s="197"/>
      <c r="Z12" s="197"/>
      <c r="AA12" s="197"/>
      <c r="AB12" s="197"/>
      <c r="AC12" s="197"/>
      <c r="AD12" s="197"/>
      <c r="AE12" s="197"/>
    </row>
    <row r="13" spans="1:31" x14ac:dyDescent="0.2">
      <c r="A13" s="1">
        <v>8</v>
      </c>
      <c r="B13" s="17">
        <f t="shared" si="0"/>
        <v>0</v>
      </c>
      <c r="C13" s="17">
        <f t="shared" si="1"/>
        <v>0</v>
      </c>
      <c r="D13" s="17">
        <f t="shared" si="2"/>
        <v>0</v>
      </c>
      <c r="E13" s="17">
        <f t="shared" si="6"/>
        <v>0</v>
      </c>
      <c r="F13" s="17">
        <f t="shared" si="3"/>
        <v>0</v>
      </c>
      <c r="G13" s="17">
        <f t="shared" si="4"/>
        <v>0</v>
      </c>
      <c r="H13" s="17">
        <f t="shared" si="5"/>
        <v>0</v>
      </c>
      <c r="M13" s="13" t="s">
        <v>17</v>
      </c>
      <c r="N13" s="13">
        <f>SUM(N11*12)</f>
        <v>360</v>
      </c>
      <c r="Q13" s="197"/>
      <c r="R13" s="199"/>
      <c r="S13" s="199"/>
      <c r="T13" s="199"/>
      <c r="U13" s="199"/>
      <c r="V13" s="199"/>
      <c r="W13" s="199"/>
      <c r="X13" s="199"/>
      <c r="Y13" s="197"/>
      <c r="Z13" s="197"/>
      <c r="AA13" s="197"/>
      <c r="AB13" s="197"/>
      <c r="AC13" s="35"/>
      <c r="AD13" s="35"/>
      <c r="AE13" s="197"/>
    </row>
    <row r="14" spans="1:31" x14ac:dyDescent="0.2">
      <c r="A14" s="1">
        <v>9</v>
      </c>
      <c r="B14" s="17">
        <f t="shared" si="0"/>
        <v>0</v>
      </c>
      <c r="C14" s="17">
        <f t="shared" si="1"/>
        <v>0</v>
      </c>
      <c r="D14" s="17">
        <f t="shared" si="2"/>
        <v>0</v>
      </c>
      <c r="E14" s="17">
        <f t="shared" si="6"/>
        <v>0</v>
      </c>
      <c r="F14" s="17">
        <f t="shared" si="3"/>
        <v>0</v>
      </c>
      <c r="G14" s="17">
        <f t="shared" si="4"/>
        <v>0</v>
      </c>
      <c r="H14" s="17">
        <f t="shared" si="5"/>
        <v>0</v>
      </c>
      <c r="Q14" s="197"/>
      <c r="R14" s="199"/>
      <c r="S14" s="199"/>
      <c r="T14" s="199"/>
      <c r="U14" s="199"/>
      <c r="V14" s="199"/>
      <c r="W14" s="199"/>
      <c r="X14" s="199"/>
      <c r="Y14" s="197"/>
      <c r="Z14" s="197"/>
      <c r="AA14" s="197"/>
      <c r="AB14" s="197"/>
      <c r="AC14" s="197"/>
      <c r="AD14" s="197"/>
      <c r="AE14" s="197"/>
    </row>
    <row r="15" spans="1:31" x14ac:dyDescent="0.2">
      <c r="A15" s="1">
        <v>10</v>
      </c>
      <c r="B15" s="17">
        <f t="shared" si="0"/>
        <v>0</v>
      </c>
      <c r="C15" s="17">
        <f t="shared" si="1"/>
        <v>0</v>
      </c>
      <c r="D15" s="17">
        <f t="shared" si="2"/>
        <v>0</v>
      </c>
      <c r="E15" s="17">
        <f t="shared" si="6"/>
        <v>0</v>
      </c>
      <c r="F15" s="17">
        <f t="shared" si="3"/>
        <v>0</v>
      </c>
      <c r="G15" s="17">
        <f t="shared" si="4"/>
        <v>0</v>
      </c>
      <c r="H15" s="17">
        <f t="shared" si="5"/>
        <v>0</v>
      </c>
      <c r="Q15" s="197"/>
      <c r="R15" s="199"/>
      <c r="S15" s="199"/>
      <c r="T15" s="199"/>
      <c r="U15" s="199"/>
      <c r="V15" s="199"/>
      <c r="W15" s="199"/>
      <c r="X15" s="199"/>
      <c r="Y15" s="197"/>
      <c r="Z15" s="197"/>
      <c r="AA15" s="197"/>
      <c r="AB15" s="197"/>
      <c r="AC15" s="197"/>
      <c r="AD15" s="197"/>
      <c r="AE15" s="197"/>
    </row>
    <row r="16" spans="1:31" x14ac:dyDescent="0.2">
      <c r="A16" s="1">
        <v>11</v>
      </c>
      <c r="B16" s="17">
        <f t="shared" si="0"/>
        <v>0</v>
      </c>
      <c r="C16" s="17">
        <f t="shared" si="1"/>
        <v>0</v>
      </c>
      <c r="D16" s="17">
        <f t="shared" si="2"/>
        <v>0</v>
      </c>
      <c r="E16" s="17">
        <f t="shared" si="6"/>
        <v>0</v>
      </c>
      <c r="F16" s="17">
        <f t="shared" si="3"/>
        <v>0</v>
      </c>
      <c r="G16" s="17">
        <f t="shared" si="4"/>
        <v>0</v>
      </c>
      <c r="H16" s="17">
        <f t="shared" si="5"/>
        <v>0</v>
      </c>
      <c r="Q16" s="197"/>
      <c r="R16" s="199"/>
      <c r="S16" s="199"/>
      <c r="T16" s="199"/>
      <c r="U16" s="199"/>
      <c r="V16" s="199"/>
      <c r="W16" s="199"/>
      <c r="X16" s="199"/>
      <c r="Y16" s="197"/>
      <c r="Z16" s="197"/>
      <c r="AA16" s="197"/>
      <c r="AB16" s="197"/>
      <c r="AC16" s="197"/>
      <c r="AD16" s="197"/>
      <c r="AE16" s="197"/>
    </row>
    <row r="17" spans="1:31" x14ac:dyDescent="0.2">
      <c r="A17" s="1">
        <v>12</v>
      </c>
      <c r="B17" s="17">
        <f t="shared" si="0"/>
        <v>0</v>
      </c>
      <c r="C17" s="17">
        <f t="shared" si="1"/>
        <v>0</v>
      </c>
      <c r="D17" s="17">
        <f t="shared" si="2"/>
        <v>0</v>
      </c>
      <c r="E17" s="17">
        <f t="shared" si="6"/>
        <v>0</v>
      </c>
      <c r="F17" s="17">
        <f t="shared" si="3"/>
        <v>0</v>
      </c>
      <c r="G17" s="17">
        <f t="shared" si="4"/>
        <v>0</v>
      </c>
      <c r="H17" s="17">
        <f t="shared" si="5"/>
        <v>0</v>
      </c>
      <c r="Q17" s="197"/>
      <c r="R17" s="199"/>
      <c r="S17" s="199"/>
      <c r="T17" s="199"/>
      <c r="U17" s="199"/>
      <c r="V17" s="199"/>
      <c r="W17" s="199"/>
      <c r="X17" s="199"/>
      <c r="Y17" s="197"/>
      <c r="Z17" s="197"/>
      <c r="AA17" s="197"/>
      <c r="AB17" s="197"/>
      <c r="AC17" s="197"/>
      <c r="AD17" s="197"/>
      <c r="AE17" s="197"/>
    </row>
    <row r="18" spans="1:31" x14ac:dyDescent="0.2">
      <c r="Q18" s="197"/>
      <c r="R18" s="197"/>
      <c r="S18" s="197"/>
      <c r="T18" s="197"/>
      <c r="U18" s="197"/>
      <c r="V18" s="197"/>
      <c r="W18" s="197"/>
      <c r="X18" s="197"/>
      <c r="Y18" s="197"/>
      <c r="Z18" s="197"/>
      <c r="AA18" s="197"/>
      <c r="AB18" s="197"/>
      <c r="AC18" s="197"/>
      <c r="AD18" s="197"/>
      <c r="AE18" s="197"/>
    </row>
    <row r="19" spans="1:31" x14ac:dyDescent="0.2">
      <c r="Q19" s="197"/>
      <c r="R19" s="197"/>
      <c r="S19" s="197"/>
      <c r="T19" s="197"/>
      <c r="U19" s="197"/>
      <c r="V19" s="197"/>
      <c r="W19" s="197"/>
      <c r="X19" s="197"/>
      <c r="Y19" s="197"/>
      <c r="Z19" s="197"/>
      <c r="AA19" s="197"/>
      <c r="AB19" s="197"/>
      <c r="AC19" s="197"/>
      <c r="AD19" s="197"/>
      <c r="AE19" s="197"/>
    </row>
    <row r="20" spans="1:31" x14ac:dyDescent="0.2">
      <c r="Q20" s="197"/>
      <c r="R20" s="197"/>
      <c r="S20" s="197"/>
      <c r="T20" s="197"/>
      <c r="U20" s="197"/>
      <c r="V20" s="197"/>
      <c r="W20" s="197"/>
      <c r="X20" s="197"/>
      <c r="Y20" s="197"/>
      <c r="Z20" s="197"/>
      <c r="AA20" s="197"/>
      <c r="AB20" s="197"/>
      <c r="AC20" s="197"/>
      <c r="AD20" s="197"/>
      <c r="AE20" s="197"/>
    </row>
  </sheetData>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EBB8-A6A1-4075-8012-C7F671BC4758}">
  <sheetPr codeName="Sheet6"/>
  <dimension ref="A1:AD19"/>
  <sheetViews>
    <sheetView workbookViewId="0">
      <selection activeCell="I23" sqref="I23"/>
    </sheetView>
  </sheetViews>
  <sheetFormatPr defaultColWidth="9.140625" defaultRowHeight="12.75" x14ac:dyDescent="0.2"/>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1" spans="1:30" x14ac:dyDescent="0.2">
      <c r="U1" s="17"/>
      <c r="V1" s="17"/>
      <c r="W1" s="17"/>
      <c r="X1" s="17"/>
    </row>
    <row r="2" spans="1:30" x14ac:dyDescent="0.2">
      <c r="U2" s="17"/>
      <c r="V2" s="17"/>
      <c r="W2" s="17"/>
      <c r="X2" s="17"/>
      <c r="AC2" s="35"/>
      <c r="AD2" s="36"/>
    </row>
    <row r="3" spans="1:30" x14ac:dyDescent="0.2">
      <c r="A3" s="12"/>
      <c r="B3" s="12" t="s">
        <v>0</v>
      </c>
      <c r="C3" s="12" t="s">
        <v>1</v>
      </c>
      <c r="D3" s="12" t="s">
        <v>2</v>
      </c>
      <c r="E3" s="12" t="s">
        <v>0</v>
      </c>
      <c r="F3" s="12" t="s">
        <v>3</v>
      </c>
      <c r="G3" s="12" t="s">
        <v>4</v>
      </c>
      <c r="H3" s="12" t="s">
        <v>5</v>
      </c>
      <c r="J3" s="13" t="s">
        <v>6</v>
      </c>
      <c r="K3" s="42">
        <f>N13</f>
        <v>5.89</v>
      </c>
      <c r="Q3" s="12"/>
      <c r="R3" s="12"/>
      <c r="S3" s="12"/>
      <c r="T3" s="12"/>
      <c r="AC3" s="36"/>
      <c r="AD3" s="36"/>
    </row>
    <row r="4" spans="1:30" x14ac:dyDescent="0.2">
      <c r="J4" s="13" t="s">
        <v>7</v>
      </c>
      <c r="K4" s="1">
        <f>(K3/100)/12</f>
        <v>4.9083333333333331E-3</v>
      </c>
      <c r="AC4" s="35"/>
      <c r="AD4" s="35"/>
    </row>
    <row r="5" spans="1:30" x14ac:dyDescent="0.2">
      <c r="H5" s="15">
        <f>'Affordability Calculator'!C6</f>
        <v>0</v>
      </c>
      <c r="J5" s="13" t="s">
        <v>8</v>
      </c>
      <c r="K5" s="21">
        <f>N8</f>
        <v>360</v>
      </c>
    </row>
    <row r="6" spans="1:30" x14ac:dyDescent="0.2">
      <c r="A6" s="1">
        <v>1</v>
      </c>
      <c r="B6" s="17">
        <f t="shared" ref="B6:B17" si="0">E6</f>
        <v>0</v>
      </c>
      <c r="C6" s="17">
        <f t="shared" ref="C6:D17" si="1">F6/12</f>
        <v>0</v>
      </c>
      <c r="D6" s="17">
        <f t="shared" si="1"/>
        <v>0</v>
      </c>
      <c r="E6" s="17">
        <f>H5*POWER(1+K4,K5)/(POWER(1+K4,K5)-1)*K4</f>
        <v>0</v>
      </c>
      <c r="F6" s="17">
        <f t="shared" ref="F6:F17" si="2">H5*$K$4</f>
        <v>0</v>
      </c>
      <c r="G6" s="17">
        <f t="shared" ref="G6:G17" si="3">E6-F6</f>
        <v>0</v>
      </c>
      <c r="H6" s="17">
        <f t="shared" ref="H6:H17" si="4">H5-G6</f>
        <v>0</v>
      </c>
      <c r="M6" s="13" t="s">
        <v>16</v>
      </c>
      <c r="N6" s="18">
        <f>'Affordability Calculator'!F6</f>
        <v>30</v>
      </c>
      <c r="R6" s="17"/>
      <c r="S6" s="17"/>
      <c r="T6" s="17"/>
    </row>
    <row r="7" spans="1:30" x14ac:dyDescent="0.2">
      <c r="A7" s="1">
        <v>2</v>
      </c>
      <c r="B7" s="17">
        <f t="shared" si="0"/>
        <v>0</v>
      </c>
      <c r="C7" s="17">
        <f t="shared" si="1"/>
        <v>0</v>
      </c>
      <c r="D7" s="17">
        <f t="shared" si="1"/>
        <v>0</v>
      </c>
      <c r="E7" s="17">
        <f t="shared" ref="E7:E17" si="5">E6</f>
        <v>0</v>
      </c>
      <c r="F7" s="17">
        <f t="shared" si="2"/>
        <v>0</v>
      </c>
      <c r="G7" s="17">
        <f t="shared" si="3"/>
        <v>0</v>
      </c>
      <c r="H7" s="17">
        <f t="shared" si="4"/>
        <v>0</v>
      </c>
      <c r="R7" s="17"/>
      <c r="S7" s="17"/>
      <c r="T7" s="17"/>
    </row>
    <row r="8" spans="1:30" x14ac:dyDescent="0.2">
      <c r="A8" s="1">
        <v>3</v>
      </c>
      <c r="B8" s="17">
        <f t="shared" si="0"/>
        <v>0</v>
      </c>
      <c r="C8" s="17">
        <f t="shared" si="1"/>
        <v>0</v>
      </c>
      <c r="D8" s="17">
        <f t="shared" si="1"/>
        <v>0</v>
      </c>
      <c r="E8" s="17">
        <f t="shared" si="5"/>
        <v>0</v>
      </c>
      <c r="F8" s="17">
        <f t="shared" si="2"/>
        <v>0</v>
      </c>
      <c r="G8" s="17">
        <f t="shared" si="3"/>
        <v>0</v>
      </c>
      <c r="H8" s="17">
        <f t="shared" si="4"/>
        <v>0</v>
      </c>
      <c r="M8" s="13" t="s">
        <v>17</v>
      </c>
      <c r="N8" s="37">
        <f>SUM(N6*12)</f>
        <v>360</v>
      </c>
      <c r="R8" s="17"/>
      <c r="S8" s="17"/>
      <c r="T8" s="17"/>
    </row>
    <row r="9" spans="1:30" x14ac:dyDescent="0.2">
      <c r="A9" s="1">
        <v>4</v>
      </c>
      <c r="B9" s="17">
        <f t="shared" si="0"/>
        <v>0</v>
      </c>
      <c r="C9" s="17">
        <f t="shared" si="1"/>
        <v>0</v>
      </c>
      <c r="D9" s="17">
        <f t="shared" si="1"/>
        <v>0</v>
      </c>
      <c r="E9" s="17">
        <f t="shared" si="5"/>
        <v>0</v>
      </c>
      <c r="F9" s="17">
        <f t="shared" si="2"/>
        <v>0</v>
      </c>
      <c r="G9" s="17">
        <f t="shared" si="3"/>
        <v>0</v>
      </c>
      <c r="H9" s="17">
        <f t="shared" si="4"/>
        <v>0</v>
      </c>
      <c r="R9" s="17"/>
      <c r="S9" s="17"/>
      <c r="T9" s="17"/>
    </row>
    <row r="10" spans="1:30" x14ac:dyDescent="0.2">
      <c r="A10" s="1">
        <v>5</v>
      </c>
      <c r="B10" s="17">
        <f t="shared" si="0"/>
        <v>0</v>
      </c>
      <c r="C10" s="17">
        <f t="shared" si="1"/>
        <v>0</v>
      </c>
      <c r="D10" s="17">
        <f t="shared" si="1"/>
        <v>0</v>
      </c>
      <c r="E10" s="17">
        <f t="shared" si="5"/>
        <v>0</v>
      </c>
      <c r="F10" s="17">
        <f t="shared" si="2"/>
        <v>0</v>
      </c>
      <c r="G10" s="17">
        <f t="shared" si="3"/>
        <v>0</v>
      </c>
      <c r="H10" s="17">
        <f t="shared" si="4"/>
        <v>0</v>
      </c>
      <c r="R10" s="17"/>
      <c r="S10" s="17"/>
      <c r="T10" s="17"/>
    </row>
    <row r="11" spans="1:30" x14ac:dyDescent="0.2">
      <c r="A11" s="1">
        <v>6</v>
      </c>
      <c r="B11" s="17">
        <f t="shared" si="0"/>
        <v>0</v>
      </c>
      <c r="C11" s="17">
        <f t="shared" si="1"/>
        <v>0</v>
      </c>
      <c r="D11" s="17">
        <f t="shared" si="1"/>
        <v>0</v>
      </c>
      <c r="E11" s="17">
        <f t="shared" si="5"/>
        <v>0</v>
      </c>
      <c r="F11" s="17">
        <f t="shared" si="2"/>
        <v>0</v>
      </c>
      <c r="G11" s="17">
        <f t="shared" si="3"/>
        <v>0</v>
      </c>
      <c r="H11" s="17">
        <f t="shared" si="4"/>
        <v>0</v>
      </c>
      <c r="M11" s="26" t="s">
        <v>6</v>
      </c>
      <c r="N11" s="40">
        <f>'Affordability Calculator'!E10</f>
        <v>5.8900000000000001E-2</v>
      </c>
      <c r="R11" s="17"/>
      <c r="S11" s="17"/>
      <c r="T11" s="17"/>
    </row>
    <row r="12" spans="1:30" x14ac:dyDescent="0.2">
      <c r="A12" s="1">
        <v>7</v>
      </c>
      <c r="B12" s="17">
        <f t="shared" si="0"/>
        <v>0</v>
      </c>
      <c r="C12" s="17">
        <f t="shared" si="1"/>
        <v>0</v>
      </c>
      <c r="D12" s="17">
        <f t="shared" si="1"/>
        <v>0</v>
      </c>
      <c r="E12" s="17">
        <f t="shared" si="5"/>
        <v>0</v>
      </c>
      <c r="F12" s="17">
        <f t="shared" si="2"/>
        <v>0</v>
      </c>
      <c r="G12" s="17">
        <f t="shared" si="3"/>
        <v>0</v>
      </c>
      <c r="H12" s="14">
        <f t="shared" si="4"/>
        <v>0</v>
      </c>
      <c r="R12" s="17"/>
      <c r="S12" s="17"/>
      <c r="T12" s="17"/>
    </row>
    <row r="13" spans="1:30" x14ac:dyDescent="0.2">
      <c r="A13" s="1">
        <v>8</v>
      </c>
      <c r="B13" s="17">
        <f t="shared" si="0"/>
        <v>0</v>
      </c>
      <c r="C13" s="17">
        <f t="shared" si="1"/>
        <v>0</v>
      </c>
      <c r="D13" s="17">
        <f t="shared" si="1"/>
        <v>0</v>
      </c>
      <c r="E13" s="17">
        <f t="shared" si="5"/>
        <v>0</v>
      </c>
      <c r="F13" s="17">
        <f t="shared" si="2"/>
        <v>0</v>
      </c>
      <c r="G13" s="17">
        <f t="shared" si="3"/>
        <v>0</v>
      </c>
      <c r="H13" s="17">
        <f t="shared" si="4"/>
        <v>0</v>
      </c>
      <c r="M13" s="26" t="s">
        <v>6</v>
      </c>
      <c r="N13" s="1">
        <f>SUM(N11*100)</f>
        <v>5.89</v>
      </c>
      <c r="R13" s="17"/>
      <c r="S13" s="17"/>
      <c r="T13" s="17"/>
    </row>
    <row r="14" spans="1:30" x14ac:dyDescent="0.2">
      <c r="A14" s="1">
        <v>9</v>
      </c>
      <c r="B14" s="17">
        <f t="shared" si="0"/>
        <v>0</v>
      </c>
      <c r="C14" s="17">
        <f t="shared" si="1"/>
        <v>0</v>
      </c>
      <c r="D14" s="17">
        <f t="shared" si="1"/>
        <v>0</v>
      </c>
      <c r="E14" s="17">
        <f t="shared" si="5"/>
        <v>0</v>
      </c>
      <c r="F14" s="17">
        <f t="shared" si="2"/>
        <v>0</v>
      </c>
      <c r="G14" s="17">
        <f t="shared" si="3"/>
        <v>0</v>
      </c>
      <c r="H14" s="17">
        <f t="shared" si="4"/>
        <v>0</v>
      </c>
      <c r="R14" s="17"/>
      <c r="S14" s="17"/>
      <c r="T14" s="17"/>
    </row>
    <row r="15" spans="1:30" x14ac:dyDescent="0.2">
      <c r="A15" s="1">
        <v>10</v>
      </c>
      <c r="B15" s="17">
        <f t="shared" si="0"/>
        <v>0</v>
      </c>
      <c r="C15" s="17">
        <f t="shared" si="1"/>
        <v>0</v>
      </c>
      <c r="D15" s="17">
        <f t="shared" si="1"/>
        <v>0</v>
      </c>
      <c r="E15" s="17">
        <f t="shared" si="5"/>
        <v>0</v>
      </c>
      <c r="F15" s="17">
        <f t="shared" si="2"/>
        <v>0</v>
      </c>
      <c r="G15" s="17">
        <f t="shared" si="3"/>
        <v>0</v>
      </c>
      <c r="H15" s="17">
        <f t="shared" si="4"/>
        <v>0</v>
      </c>
      <c r="R15" s="17"/>
      <c r="S15" s="17"/>
      <c r="T15" s="17"/>
      <c r="U15" s="17"/>
      <c r="V15" s="17"/>
      <c r="W15" s="17"/>
      <c r="X15" s="17"/>
    </row>
    <row r="16" spans="1:30" x14ac:dyDescent="0.2">
      <c r="A16" s="1">
        <v>11</v>
      </c>
      <c r="B16" s="17">
        <f t="shared" si="0"/>
        <v>0</v>
      </c>
      <c r="C16" s="17">
        <f t="shared" si="1"/>
        <v>0</v>
      </c>
      <c r="D16" s="17">
        <f t="shared" si="1"/>
        <v>0</v>
      </c>
      <c r="E16" s="17">
        <f t="shared" si="5"/>
        <v>0</v>
      </c>
      <c r="F16" s="17">
        <f t="shared" si="2"/>
        <v>0</v>
      </c>
      <c r="G16" s="17">
        <f t="shared" si="3"/>
        <v>0</v>
      </c>
      <c r="H16" s="17">
        <f t="shared" si="4"/>
        <v>0</v>
      </c>
      <c r="R16" s="17"/>
      <c r="S16" s="17"/>
      <c r="T16" s="17"/>
      <c r="U16" s="17"/>
      <c r="V16" s="17"/>
      <c r="W16" s="17"/>
      <c r="X16" s="17"/>
    </row>
    <row r="17" spans="1:30" x14ac:dyDescent="0.2">
      <c r="A17" s="1">
        <v>12</v>
      </c>
      <c r="B17" s="17">
        <f t="shared" si="0"/>
        <v>0</v>
      </c>
      <c r="C17" s="17">
        <f t="shared" si="1"/>
        <v>0</v>
      </c>
      <c r="D17" s="17">
        <f t="shared" si="1"/>
        <v>0</v>
      </c>
      <c r="E17" s="17">
        <f t="shared" si="5"/>
        <v>0</v>
      </c>
      <c r="F17" s="17">
        <f t="shared" si="2"/>
        <v>0</v>
      </c>
      <c r="G17" s="17">
        <f t="shared" si="3"/>
        <v>0</v>
      </c>
      <c r="H17" s="17">
        <f t="shared" si="4"/>
        <v>0</v>
      </c>
      <c r="M17" s="35"/>
      <c r="N17" s="36"/>
      <c r="O17" s="36"/>
      <c r="P17" s="36"/>
      <c r="R17" s="17"/>
      <c r="S17" s="17"/>
      <c r="T17" s="17"/>
      <c r="U17" s="17"/>
      <c r="V17" s="17"/>
      <c r="W17" s="17"/>
      <c r="X17" s="17"/>
      <c r="AC17" s="35"/>
      <c r="AD17" s="36"/>
    </row>
    <row r="18" spans="1:30" x14ac:dyDescent="0.2">
      <c r="M18" s="36"/>
      <c r="N18" s="36"/>
      <c r="O18" s="36"/>
      <c r="P18" s="36"/>
      <c r="AC18" s="36"/>
      <c r="AD18" s="36"/>
    </row>
    <row r="19" spans="1:30" x14ac:dyDescent="0.2">
      <c r="M19" s="35"/>
      <c r="N19" s="35"/>
      <c r="O19" s="35"/>
      <c r="P19" s="36"/>
      <c r="AC19" s="35"/>
      <c r="AD19" s="35"/>
    </row>
  </sheetData>
  <pageMargins left="0" right="0"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29DDE5F7E49143BE632C4634767471" ma:contentTypeVersion="15" ma:contentTypeDescription="Create a new document." ma:contentTypeScope="" ma:versionID="8a31d8da3f506a3459b9ef7c26d64e10">
  <xsd:schema xmlns:xsd="http://www.w3.org/2001/XMLSchema" xmlns:xs="http://www.w3.org/2001/XMLSchema" xmlns:p="http://schemas.microsoft.com/office/2006/metadata/properties" xmlns:ns2="47e14944-e369-4e5a-8ced-f470f1e6176f" xmlns:ns3="8b87397e-32af-4fe1-8577-1526759be86f" targetNamespace="http://schemas.microsoft.com/office/2006/metadata/properties" ma:root="true" ma:fieldsID="b0d5ab440b76d6c37ead7dfde5f9a88e" ns2:_="" ns3:_="">
    <xsd:import namespace="47e14944-e369-4e5a-8ced-f470f1e6176f"/>
    <xsd:import namespace="8b87397e-32af-4fe1-8577-1526759be8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14944-e369-4e5a-8ced-f470f1e61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6bb7bb9-85b7-447f-bac8-39361cf3ce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87397e-32af-4fe1-8577-1526759be8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81613c-c7b2-4d2f-b45e-560a24e37b8b}" ma:internalName="TaxCatchAll" ma:showField="CatchAllData" ma:web="8b87397e-32af-4fe1-8577-1526759be8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e14944-e369-4e5a-8ced-f470f1e6176f">
      <Terms xmlns="http://schemas.microsoft.com/office/infopath/2007/PartnerControls"/>
    </lcf76f155ced4ddcb4097134ff3c332f>
    <TaxCatchAll xmlns="8b87397e-32af-4fe1-8577-1526759be8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4AAB23-FF71-47C1-B045-14CCFCA31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14944-e369-4e5a-8ced-f470f1e6176f"/>
    <ds:schemaRef ds:uri="8b87397e-32af-4fe1-8577-1526759be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EBB82-6213-47B8-80FF-E6400BFFB127}">
  <ds:schemaRefs>
    <ds:schemaRef ds:uri="http://schemas.microsoft.com/office/2006/metadata/properties"/>
    <ds:schemaRef ds:uri="http://schemas.microsoft.com/office/infopath/2007/PartnerControls"/>
    <ds:schemaRef ds:uri="47e14944-e369-4e5a-8ced-f470f1e6176f"/>
    <ds:schemaRef ds:uri="8b87397e-32af-4fe1-8577-1526759be86f"/>
  </ds:schemaRefs>
</ds:datastoreItem>
</file>

<file path=customXml/itemProps3.xml><?xml version="1.0" encoding="utf-8"?>
<ds:datastoreItem xmlns:ds="http://schemas.openxmlformats.org/officeDocument/2006/customXml" ds:itemID="{C78E5F6D-8D87-426B-89DC-E2C2C0784F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Affordability Calculator</vt:lpstr>
      <vt:lpstr>Affordability Assessment</vt:lpstr>
      <vt:lpstr>Model</vt:lpstr>
      <vt:lpstr>Lookups</vt:lpstr>
      <vt:lpstr>Version Control</vt:lpstr>
      <vt:lpstr>Amortisation</vt:lpstr>
      <vt:lpstr>Amortisation Repayment</vt:lpstr>
      <vt:lpstr>Amortisation!Print_Area</vt:lpstr>
      <vt:lpstr>'Amortisation Repayment'!Print_Area</vt:lpstr>
      <vt:lpstr>Model!scaling_factor_adults</vt:lpstr>
      <vt:lpstr>Model!scaling_factor_children</vt:lpstr>
      <vt:lpstr>Model!scaling_factor_head</vt:lpstr>
      <vt:lpstr>Model!scaling_factor_total</vt:lpstr>
    </vt:vector>
  </TitlesOfParts>
  <Company>Mutual Vision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Feeney</dc:creator>
  <cp:lastModifiedBy>Daniel Capstick</cp:lastModifiedBy>
  <cp:lastPrinted>2018-12-18T10:17:32Z</cp:lastPrinted>
  <dcterms:created xsi:type="dcterms:W3CDTF">2005-05-18T13:19:14Z</dcterms:created>
  <dcterms:modified xsi:type="dcterms:W3CDTF">2025-11-26T12:25:06Z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0x0101003229DDE5F7E49143BE632C4634767471</vt:lpwstr>
  </property>
</Properties>
</file>